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autoCompressPictures="0" defaultThemeVersion="124226"/>
  <mc:AlternateContent xmlns:mc="http://schemas.openxmlformats.org/markup-compatibility/2006">
    <mc:Choice Requires="x15">
      <x15ac:absPath xmlns:x15ac="http://schemas.microsoft.com/office/spreadsheetml/2010/11/ac" url="https://catto1.sharepoint.com/sites/BenefitsDepartment/Shared Documents/General/Client Info (Marketing Back-up, etc.)/10-1-23 City of New Braunfels/"/>
    </mc:Choice>
  </mc:AlternateContent>
  <xr:revisionPtr revIDLastSave="28" documentId="8_{3FB76668-7D37-4914-9C4E-443566BEC681}" xr6:coauthVersionLast="47" xr6:coauthVersionMax="47" xr10:uidLastSave="{C7AE0061-0434-451D-9DE3-287D16E3D834}"/>
  <bookViews>
    <workbookView xWindow="-120" yWindow="-120" windowWidth="25440" windowHeight="15390" tabRatio="803" firstSheet="4" activeTab="4" xr2:uid="{00000000-000D-0000-FFFF-FFFF00000000}"/>
  </bookViews>
  <sheets>
    <sheet name="2018 Renewal - Fixed Fees" sheetId="49" state="hidden" r:id="rId1"/>
    <sheet name="2016 Renewal" sheetId="36" state="hidden" r:id="rId2"/>
    <sheet name="2014 Renewal - Option" sheetId="39" state="hidden" r:id="rId3"/>
    <sheet name="2014 - For Council" sheetId="41" state="hidden" r:id="rId4"/>
    <sheet name="Stop Loss Analysis" sheetId="51" r:id="rId5"/>
    <sheet name="Proposal Analysis" sheetId="50" state="hidden" r:id="rId6"/>
    <sheet name="Proposal Analysis - BAFO" sheetId="52" state="hidden" r:id="rId7"/>
    <sheet name="Pharmacy" sheetId="48" state="hidden" r:id="rId8"/>
    <sheet name="Benefits" sheetId="31" state="hidden" r:id="rId9"/>
    <sheet name="Network Disruption" sheetId="47" state="hidden" r:id="rId10"/>
    <sheet name="Perf Commitments &amp; Penalties" sheetId="42" state="hidden" r:id="rId11"/>
    <sheet name="Wellness" sheetId="44" state="hidden" r:id="rId12"/>
    <sheet name="FSA" sheetId="45" state="hidden" r:id="rId13"/>
    <sheet name="HSA" sheetId="46" state="hidden" r:id="rId14"/>
    <sheet name="Carrier Allowances" sheetId="43" state="hidden" r:id="rId15"/>
  </sheets>
  <externalReferences>
    <externalReference r:id="rId16"/>
    <externalReference r:id="rId17"/>
  </externalReferences>
  <definedNames>
    <definedName name="_Toc357069891" localSheetId="11">Wellness!$A$10</definedName>
    <definedName name="_xlnm.Print_Area" localSheetId="3">'2014 - For Council'!$A$2:$Y$58</definedName>
    <definedName name="_xlnm.Print_Area" localSheetId="2">'2014 Renewal - Option'!$A$2:$X$57</definedName>
    <definedName name="_xlnm.Print_Area" localSheetId="1">'2016 Renewal'!$A$2:$K$87</definedName>
    <definedName name="_xlnm.Print_Area" localSheetId="0">'2018 Renewal - Fixed Fees'!$A$1:$E$93</definedName>
    <definedName name="_xlnm.Print_Area" localSheetId="8">Benefits!$A$1:$AH$46</definedName>
    <definedName name="_xlnm.Print_Area" localSheetId="9">'Network Disruption'!$A$1:$J$59</definedName>
    <definedName name="_xlnm.Print_Area" localSheetId="7">Pharmacy!$A$1:$D$47</definedName>
    <definedName name="_xlnm.Print_Area" localSheetId="5">'Proposal Analysis'!$A$1:$I$27</definedName>
    <definedName name="_xlnm.Print_Area" localSheetId="6">'Proposal Analysis - BAFO'!$A$1:$I$27</definedName>
    <definedName name="_xlnm.Print_Area" localSheetId="4">'Stop Loss Analysis'!$A$2:$J$95</definedName>
    <definedName name="tbl_data">'[1]Data - Summary'!$A$16:$Q$24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30" i="51" l="1"/>
  <c r="J30" i="51"/>
  <c r="G30" i="51"/>
  <c r="E30" i="51"/>
  <c r="F30" i="51"/>
  <c r="D30" i="51"/>
  <c r="I30" i="51"/>
  <c r="G64" i="51" l="1"/>
  <c r="J64" i="51"/>
  <c r="H64" i="51"/>
  <c r="F64" i="51"/>
  <c r="E64" i="51"/>
  <c r="D64" i="51"/>
  <c r="I64" i="51"/>
  <c r="C73" i="51" l="1"/>
  <c r="C58" i="51"/>
  <c r="C30" i="51" l="1"/>
  <c r="I58" i="51"/>
  <c r="E58" i="51" s="1"/>
  <c r="E61" i="51" s="1"/>
  <c r="C61" i="51"/>
  <c r="C63" i="51" s="1"/>
  <c r="C64" i="51" l="1"/>
  <c r="E65" i="51"/>
  <c r="E66" i="51" s="1"/>
  <c r="E62" i="51"/>
  <c r="I61" i="51"/>
  <c r="E63" i="51" s="1"/>
  <c r="D58" i="51"/>
  <c r="H58" i="51" s="1"/>
  <c r="H61" i="51" s="1"/>
  <c r="B73" i="51"/>
  <c r="H62" i="51" l="1"/>
  <c r="H65" i="51"/>
  <c r="H66" i="51" s="1"/>
  <c r="I62" i="51"/>
  <c r="I65" i="51"/>
  <c r="I66" i="51" s="1"/>
  <c r="I63" i="51"/>
  <c r="D61" i="51"/>
  <c r="D63" i="51" s="1"/>
  <c r="F58" i="51"/>
  <c r="B30" i="51"/>
  <c r="H63" i="51" l="1"/>
  <c r="F61" i="51"/>
  <c r="F62" i="51" s="1"/>
  <c r="G58" i="51"/>
  <c r="D62" i="51"/>
  <c r="D65" i="51"/>
  <c r="D66" i="51" s="1"/>
  <c r="B64" i="51"/>
  <c r="D9" i="52"/>
  <c r="E9" i="52"/>
  <c r="B9" i="52"/>
  <c r="F6" i="52"/>
  <c r="G6" i="52"/>
  <c r="F7" i="52"/>
  <c r="G7" i="52"/>
  <c r="C8" i="52"/>
  <c r="C17" i="52" s="1"/>
  <c r="H8" i="52"/>
  <c r="H17" i="52" s="1"/>
  <c r="I8" i="52"/>
  <c r="I17" i="52" s="1"/>
  <c r="F9" i="52"/>
  <c r="B16" i="52"/>
  <c r="B22" i="52" s="1"/>
  <c r="C16" i="52"/>
  <c r="D16" i="52"/>
  <c r="E16" i="52"/>
  <c r="F16" i="52"/>
  <c r="F22" i="52" s="1"/>
  <c r="G16" i="52"/>
  <c r="H16" i="52"/>
  <c r="I16" i="52"/>
  <c r="B17" i="52"/>
  <c r="D17" i="52"/>
  <c r="E17" i="52"/>
  <c r="G17" i="52"/>
  <c r="B18" i="52"/>
  <c r="C18" i="52"/>
  <c r="D18" i="52"/>
  <c r="E18" i="52"/>
  <c r="F18" i="52"/>
  <c r="G18" i="52"/>
  <c r="H18" i="52"/>
  <c r="I18" i="52"/>
  <c r="F20" i="52"/>
  <c r="G20" i="52"/>
  <c r="H20" i="52"/>
  <c r="I20" i="52"/>
  <c r="G21" i="52"/>
  <c r="F21" i="52" s="1"/>
  <c r="H21" i="52" s="1"/>
  <c r="I21" i="52" s="1"/>
  <c r="C22" i="52"/>
  <c r="D22" i="52"/>
  <c r="E22" i="52"/>
  <c r="G22" i="52"/>
  <c r="H22" i="52"/>
  <c r="F8" i="52"/>
  <c r="F10" i="52"/>
  <c r="F63" i="51" l="1"/>
  <c r="F65" i="51"/>
  <c r="F66" i="51" s="1"/>
  <c r="G61" i="51"/>
  <c r="G63" i="51" s="1"/>
  <c r="J58" i="51"/>
  <c r="J61" i="51" s="1"/>
  <c r="H23" i="52"/>
  <c r="H24" i="52" s="1"/>
  <c r="F23" i="52"/>
  <c r="F24" i="52" s="1"/>
  <c r="G23" i="52"/>
  <c r="G24" i="52" s="1"/>
  <c r="F17" i="52"/>
  <c r="G65" i="51" l="1"/>
  <c r="G66" i="51" s="1"/>
  <c r="G62" i="51"/>
  <c r="J63" i="51"/>
  <c r="J62" i="51"/>
  <c r="J65" i="51"/>
  <c r="J66" i="51" s="1"/>
  <c r="D48" i="47"/>
  <c r="D49" i="47" s="1"/>
  <c r="C51" i="47"/>
  <c r="B57" i="47"/>
  <c r="B10" i="52" s="1"/>
  <c r="C10" i="52" s="1"/>
  <c r="B55" i="47"/>
  <c r="B18" i="47" s="1"/>
  <c r="D47" i="47"/>
  <c r="L71" i="47"/>
  <c r="L70" i="47"/>
  <c r="L69" i="47"/>
  <c r="C48" i="47"/>
  <c r="C53" i="47"/>
  <c r="C55" i="47"/>
  <c r="C18" i="47" s="1"/>
  <c r="B52" i="47"/>
  <c r="B56" i="47" s="1"/>
  <c r="B44" i="47" s="1"/>
  <c r="B48" i="47"/>
  <c r="D73" i="47"/>
  <c r="D75" i="47" s="1"/>
  <c r="D55" i="47" l="1"/>
  <c r="D51" i="47" s="1"/>
  <c r="C52" i="47"/>
  <c r="C57" i="47"/>
  <c r="G32" i="50"/>
  <c r="G33" i="50" s="1"/>
  <c r="F8" i="50" s="1"/>
  <c r="E31" i="48"/>
  <c r="C8" i="50"/>
  <c r="D10" i="52" l="1"/>
  <c r="D10" i="50"/>
  <c r="D52" i="47"/>
  <c r="D53" i="47" s="1"/>
  <c r="C56" i="47"/>
  <c r="C44" i="47" s="1"/>
  <c r="D18" i="47"/>
  <c r="H42" i="48"/>
  <c r="K32" i="48"/>
  <c r="H49" i="48"/>
  <c r="H51" i="48" s="1"/>
  <c r="H44" i="48"/>
  <c r="H30" i="48"/>
  <c r="H72" i="48"/>
  <c r="H71" i="48"/>
  <c r="H70" i="48"/>
  <c r="H36" i="48"/>
  <c r="G44" i="48"/>
  <c r="D76" i="47"/>
  <c r="E38" i="50" s="1"/>
  <c r="E32" i="50"/>
  <c r="D56" i="47" l="1"/>
  <c r="E40" i="50"/>
  <c r="E34" i="50"/>
  <c r="E36" i="50" s="1"/>
  <c r="D44" i="47" l="1"/>
  <c r="D57" i="47"/>
  <c r="E42" i="50"/>
  <c r="E10" i="50" l="1"/>
  <c r="E10" i="52"/>
  <c r="D34" i="50"/>
  <c r="F34" i="50" l="1"/>
  <c r="D40" i="50"/>
  <c r="B9" i="50"/>
  <c r="F36" i="50" l="1"/>
  <c r="D36" i="50"/>
  <c r="D42" i="50" s="1"/>
  <c r="G31" i="49" l="1"/>
  <c r="B58" i="51" l="1"/>
  <c r="B61" i="51" s="1"/>
  <c r="I72" i="47"/>
  <c r="C65" i="51" l="1"/>
  <c r="C66" i="51" s="1"/>
  <c r="C62" i="51"/>
  <c r="B62" i="51"/>
  <c r="B65" i="51"/>
  <c r="B66" i="51" s="1"/>
  <c r="E7" i="52"/>
  <c r="G7" i="50"/>
  <c r="E7" i="50"/>
  <c r="D7" i="50" s="1"/>
  <c r="D7" i="52"/>
  <c r="F7" i="50"/>
  <c r="C7" i="52"/>
  <c r="B63" i="51" l="1"/>
  <c r="B7" i="52"/>
  <c r="B7" i="50"/>
  <c r="C7" i="50"/>
  <c r="D24" i="49" l="1"/>
  <c r="D14" i="49"/>
  <c r="G31" i="48"/>
  <c r="K42" i="48" s="1"/>
  <c r="C74" i="47" l="1"/>
  <c r="C76" i="47" s="1"/>
  <c r="B36" i="48" l="1"/>
  <c r="B74" i="47" l="1"/>
  <c r="I76" i="47"/>
  <c r="F38" i="50" s="1"/>
  <c r="F40" i="50" s="1"/>
  <c r="F42" i="50" s="1"/>
  <c r="F10" i="50" s="1"/>
  <c r="B17" i="50"/>
  <c r="B18" i="50"/>
  <c r="B16" i="50"/>
  <c r="D17" i="50"/>
  <c r="E17" i="50"/>
  <c r="E18" i="50"/>
  <c r="E16" i="50"/>
  <c r="D18" i="50"/>
  <c r="D16" i="50"/>
  <c r="B22" i="50" l="1"/>
  <c r="B76" i="47"/>
  <c r="I36" i="48"/>
  <c r="C31" i="48"/>
  <c r="F31" i="48"/>
  <c r="J31" i="48"/>
  <c r="B31" i="48"/>
  <c r="G45" i="48"/>
  <c r="G41" i="48"/>
  <c r="G3" i="48"/>
  <c r="G36" i="48" s="1"/>
  <c r="G72" i="48"/>
  <c r="G71" i="48"/>
  <c r="G70" i="48" s="1"/>
  <c r="G49" i="48"/>
  <c r="G51" i="48" s="1"/>
  <c r="E44" i="48" l="1"/>
  <c r="F9" i="50" s="1"/>
  <c r="I72" i="48"/>
  <c r="I71" i="48"/>
  <c r="I70" i="48" s="1"/>
  <c r="I49" i="48"/>
  <c r="I51" i="48" s="1"/>
  <c r="I30" i="48"/>
  <c r="I31" i="48" s="1"/>
  <c r="J72" i="48"/>
  <c r="J71" i="48"/>
  <c r="J70" i="48" s="1"/>
  <c r="J49" i="48"/>
  <c r="J51" i="48" s="1"/>
  <c r="H44" i="49"/>
  <c r="H45" i="49" s="1"/>
  <c r="H5" i="52" s="1"/>
  <c r="H103" i="49"/>
  <c r="H101" i="49"/>
  <c r="H99" i="49"/>
  <c r="H73" i="49"/>
  <c r="H54" i="49"/>
  <c r="H53" i="49"/>
  <c r="H26" i="49"/>
  <c r="H27" i="49" s="1"/>
  <c r="H28" i="49" s="1"/>
  <c r="H20" i="49"/>
  <c r="H21" i="49" s="1"/>
  <c r="G41" i="49"/>
  <c r="D44" i="49"/>
  <c r="G44" i="49"/>
  <c r="J41" i="47"/>
  <c r="J72" i="47" s="1"/>
  <c r="J26" i="47"/>
  <c r="J19" i="47"/>
  <c r="G17" i="49"/>
  <c r="G18" i="49" s="1"/>
  <c r="G102" i="49"/>
  <c r="G103" i="49" s="1"/>
  <c r="G100" i="49"/>
  <c r="G101" i="49" s="1"/>
  <c r="G98" i="49"/>
  <c r="G99" i="49" s="1"/>
  <c r="G96" i="49"/>
  <c r="G95" i="49"/>
  <c r="G73" i="49"/>
  <c r="G54" i="49"/>
  <c r="G53" i="49"/>
  <c r="G26" i="49"/>
  <c r="G27" i="49" s="1"/>
  <c r="G28" i="49" s="1"/>
  <c r="G20" i="49"/>
  <c r="G21" i="49" s="1"/>
  <c r="I29" i="49"/>
  <c r="E29" i="49" s="1"/>
  <c r="D29" i="49" s="1"/>
  <c r="F29" i="49" s="1"/>
  <c r="G29" i="49" s="1"/>
  <c r="H11" i="52" l="1"/>
  <c r="H19" i="52"/>
  <c r="G45" i="49"/>
  <c r="G5" i="52" s="1"/>
  <c r="G105" i="49"/>
  <c r="G106" i="49" s="1"/>
  <c r="H105" i="49"/>
  <c r="H106" i="49" s="1"/>
  <c r="H29" i="49"/>
  <c r="H56" i="49"/>
  <c r="G11" i="52" l="1"/>
  <c r="G19" i="52"/>
  <c r="G5" i="50"/>
  <c r="F17" i="49"/>
  <c r="E19" i="49"/>
  <c r="D26" i="49"/>
  <c r="D20" i="49"/>
  <c r="D21" i="49" s="1"/>
  <c r="C44" i="48"/>
  <c r="E36" i="48"/>
  <c r="D36" i="48"/>
  <c r="C36" i="48"/>
  <c r="E72" i="48"/>
  <c r="E71" i="48"/>
  <c r="E49" i="48"/>
  <c r="E51" i="48" s="1"/>
  <c r="C41" i="48" s="1"/>
  <c r="C41" i="47"/>
  <c r="C72" i="47" s="1"/>
  <c r="E70" i="48" l="1"/>
  <c r="C45" i="48"/>
  <c r="D9" i="50"/>
  <c r="E45" i="48"/>
  <c r="K44" i="48"/>
  <c r="F41" i="49"/>
  <c r="F44" i="49" s="1"/>
  <c r="O68" i="49"/>
  <c r="O69" i="49" s="1"/>
  <c r="E43" i="49"/>
  <c r="N45" i="49"/>
  <c r="C73" i="49"/>
  <c r="D42" i="48"/>
  <c r="B49" i="48"/>
  <c r="B51" i="48" s="1"/>
  <c r="B41" i="48" s="1"/>
  <c r="E34" i="49"/>
  <c r="I44" i="49"/>
  <c r="D53" i="48"/>
  <c r="D54" i="48"/>
  <c r="E35" i="49"/>
  <c r="E31" i="49"/>
  <c r="P31" i="49" s="1"/>
  <c r="Q31" i="49" s="1"/>
  <c r="N24" i="49"/>
  <c r="I20" i="49"/>
  <c r="I21" i="49" s="1"/>
  <c r="E26" i="49"/>
  <c r="E27" i="49" s="1"/>
  <c r="E28" i="49" s="1"/>
  <c r="B38" i="49"/>
  <c r="C38" i="49" s="1"/>
  <c r="C34" i="49"/>
  <c r="B26" i="49"/>
  <c r="B27" i="49" s="1"/>
  <c r="B28" i="49" s="1"/>
  <c r="B20" i="49"/>
  <c r="B21" i="49" s="1"/>
  <c r="B17" i="49"/>
  <c r="B18" i="49" s="1"/>
  <c r="B44" i="49"/>
  <c r="B63" i="49" s="1"/>
  <c r="C26" i="49"/>
  <c r="C27" i="49" s="1"/>
  <c r="C28" i="49" s="1"/>
  <c r="C17" i="49"/>
  <c r="C18" i="49" s="1"/>
  <c r="C20" i="49"/>
  <c r="C21" i="49" s="1"/>
  <c r="C44" i="49"/>
  <c r="P44" i="49" s="1"/>
  <c r="B96" i="49"/>
  <c r="B97" i="49" s="1"/>
  <c r="C95" i="49"/>
  <c r="C96" i="49"/>
  <c r="C99" i="49"/>
  <c r="C101" i="49"/>
  <c r="C103" i="49"/>
  <c r="C42" i="49"/>
  <c r="B99" i="49"/>
  <c r="B101" i="49"/>
  <c r="B103" i="49"/>
  <c r="I54" i="49"/>
  <c r="G21" i="50"/>
  <c r="F21" i="50" s="1"/>
  <c r="H21" i="50" s="1"/>
  <c r="I21" i="50" s="1"/>
  <c r="E53" i="49"/>
  <c r="H18" i="50" s="1"/>
  <c r="D38" i="49"/>
  <c r="D45" i="49"/>
  <c r="D5" i="52" s="1"/>
  <c r="B53" i="49"/>
  <c r="F53" i="49"/>
  <c r="I18" i="50" s="1"/>
  <c r="H20" i="50"/>
  <c r="G20" i="50"/>
  <c r="I16" i="50"/>
  <c r="H16" i="50"/>
  <c r="G16" i="50"/>
  <c r="C16" i="50"/>
  <c r="D53" i="49"/>
  <c r="G18" i="50" s="1"/>
  <c r="C17" i="50"/>
  <c r="H26" i="47"/>
  <c r="H19" i="47"/>
  <c r="J35" i="49"/>
  <c r="J44" i="49" s="1"/>
  <c r="J45" i="49" s="1"/>
  <c r="J5" i="52" s="1"/>
  <c r="J103" i="49"/>
  <c r="J101" i="49"/>
  <c r="J99" i="49"/>
  <c r="J73" i="49"/>
  <c r="J26" i="49"/>
  <c r="J27" i="49" s="1"/>
  <c r="J28" i="49" s="1"/>
  <c r="J21" i="49"/>
  <c r="F54" i="49"/>
  <c r="K32" i="49"/>
  <c r="K44" i="49" s="1"/>
  <c r="L44" i="49"/>
  <c r="L45" i="49" s="1"/>
  <c r="L103" i="49"/>
  <c r="L101" i="49"/>
  <c r="L99" i="49"/>
  <c r="L42" i="49"/>
  <c r="L26" i="49"/>
  <c r="L27" i="49" s="1"/>
  <c r="L28" i="49" s="1"/>
  <c r="L20" i="49"/>
  <c r="L21" i="49" s="1"/>
  <c r="L17" i="49"/>
  <c r="K39" i="36"/>
  <c r="K42" i="36" s="1"/>
  <c r="K43" i="36" s="1"/>
  <c r="K41" i="36"/>
  <c r="F52" i="49"/>
  <c r="E52" i="49" s="1"/>
  <c r="G26" i="47"/>
  <c r="C26" i="47"/>
  <c r="F26" i="47"/>
  <c r="I26" i="47"/>
  <c r="D26" i="47"/>
  <c r="B26" i="47"/>
  <c r="I103" i="49"/>
  <c r="D102" i="49"/>
  <c r="D103" i="49" s="1"/>
  <c r="K102" i="49"/>
  <c r="K103" i="49" s="1"/>
  <c r="E102" i="49"/>
  <c r="E103" i="49" s="1"/>
  <c r="F102" i="49"/>
  <c r="F103" i="49" s="1"/>
  <c r="I101" i="49"/>
  <c r="D100" i="49"/>
  <c r="D101" i="49" s="1"/>
  <c r="K100" i="49"/>
  <c r="K101" i="49" s="1"/>
  <c r="E100" i="49"/>
  <c r="E101" i="49" s="1"/>
  <c r="F100" i="49"/>
  <c r="F101" i="49" s="1"/>
  <c r="I99" i="49"/>
  <c r="D98" i="49"/>
  <c r="D99" i="49" s="1"/>
  <c r="K98" i="49"/>
  <c r="K99" i="49" s="1"/>
  <c r="E98" i="49"/>
  <c r="E99" i="49" s="1"/>
  <c r="F98" i="49"/>
  <c r="F99" i="49" s="1"/>
  <c r="D96" i="49"/>
  <c r="K96" i="49"/>
  <c r="E96" i="49"/>
  <c r="F96" i="49"/>
  <c r="D95" i="49"/>
  <c r="K95" i="49"/>
  <c r="E95" i="49"/>
  <c r="F95" i="49"/>
  <c r="D73" i="49"/>
  <c r="K73" i="49"/>
  <c r="E73" i="49"/>
  <c r="F73" i="49"/>
  <c r="I73" i="49"/>
  <c r="B73" i="49"/>
  <c r="N28" i="49"/>
  <c r="M28" i="49"/>
  <c r="D27" i="49"/>
  <c r="D28" i="49" s="1"/>
  <c r="K26" i="49"/>
  <c r="K27" i="49" s="1"/>
  <c r="K28" i="49" s="1"/>
  <c r="F26" i="49"/>
  <c r="F27" i="49" s="1"/>
  <c r="F28" i="49" s="1"/>
  <c r="I26" i="49"/>
  <c r="P24" i="49"/>
  <c r="P25" i="49" s="1"/>
  <c r="K21" i="49"/>
  <c r="E20" i="49"/>
  <c r="E21" i="49" s="1"/>
  <c r="F20" i="49"/>
  <c r="F21" i="49" s="1"/>
  <c r="K17" i="49"/>
  <c r="K18" i="49" s="1"/>
  <c r="D15" i="49"/>
  <c r="D17" i="49" s="1"/>
  <c r="I15" i="49"/>
  <c r="E17" i="49"/>
  <c r="P14" i="49"/>
  <c r="J14" i="49"/>
  <c r="E30" i="36"/>
  <c r="E40" i="36"/>
  <c r="F40" i="36" s="1"/>
  <c r="E16" i="36"/>
  <c r="E19" i="36"/>
  <c r="E20" i="36" s="1"/>
  <c r="F30" i="36"/>
  <c r="F58" i="36" s="1"/>
  <c r="F60" i="36" s="1"/>
  <c r="F19" i="36"/>
  <c r="F20" i="36"/>
  <c r="K13" i="36"/>
  <c r="K16" i="36" s="1"/>
  <c r="K17" i="36" s="1"/>
  <c r="K14" i="36"/>
  <c r="F72" i="48"/>
  <c r="F71" i="48"/>
  <c r="I16" i="36"/>
  <c r="G14" i="36"/>
  <c r="G13" i="36"/>
  <c r="F16" i="36"/>
  <c r="H25" i="36"/>
  <c r="I19" i="36"/>
  <c r="I20" i="36" s="1"/>
  <c r="H16" i="36"/>
  <c r="F19" i="47"/>
  <c r="H19" i="36"/>
  <c r="H20" i="36" s="1"/>
  <c r="B19" i="47"/>
  <c r="G42" i="36"/>
  <c r="E25" i="36"/>
  <c r="E26" i="36" s="1"/>
  <c r="E27" i="36" s="1"/>
  <c r="I42" i="36"/>
  <c r="I43" i="36" s="1"/>
  <c r="J49" i="36"/>
  <c r="I48" i="36"/>
  <c r="H48" i="36" s="1"/>
  <c r="J48" i="36" s="1"/>
  <c r="G48" i="36"/>
  <c r="F92" i="36"/>
  <c r="F94" i="36"/>
  <c r="F98" i="36" s="1"/>
  <c r="F99" i="36" s="1"/>
  <c r="F96" i="36"/>
  <c r="G96" i="36"/>
  <c r="G94" i="36"/>
  <c r="G92" i="36"/>
  <c r="G66" i="36"/>
  <c r="G20" i="36"/>
  <c r="I19" i="47"/>
  <c r="C19" i="47"/>
  <c r="G19" i="47"/>
  <c r="D19" i="47"/>
  <c r="K49" i="36"/>
  <c r="E96" i="36"/>
  <c r="E94" i="36"/>
  <c r="E92" i="36"/>
  <c r="H42" i="36"/>
  <c r="H43" i="36" s="1"/>
  <c r="N42" i="36"/>
  <c r="N43" i="36" s="1"/>
  <c r="N48" i="36"/>
  <c r="K48" i="36" s="1"/>
  <c r="L66" i="36"/>
  <c r="M66" i="36"/>
  <c r="I66" i="36"/>
  <c r="N66" i="36"/>
  <c r="H66" i="36"/>
  <c r="K66" i="36"/>
  <c r="J66" i="36"/>
  <c r="E66" i="36"/>
  <c r="L88" i="36"/>
  <c r="M88" i="36"/>
  <c r="I88" i="36"/>
  <c r="N88" i="36"/>
  <c r="H88" i="36"/>
  <c r="K88" i="36"/>
  <c r="J88" i="36"/>
  <c r="L89" i="36"/>
  <c r="M89" i="36"/>
  <c r="I89" i="36"/>
  <c r="N89" i="36"/>
  <c r="H89" i="36"/>
  <c r="K89" i="36"/>
  <c r="J89" i="36"/>
  <c r="L91" i="36"/>
  <c r="L92" i="36" s="1"/>
  <c r="M91" i="36"/>
  <c r="M92" i="36" s="1"/>
  <c r="I91" i="36"/>
  <c r="I92" i="36" s="1"/>
  <c r="N91" i="36"/>
  <c r="N92" i="36"/>
  <c r="H91" i="36"/>
  <c r="H92" i="36" s="1"/>
  <c r="K91" i="36"/>
  <c r="K92" i="36" s="1"/>
  <c r="J91" i="36"/>
  <c r="J92" i="36" s="1"/>
  <c r="L93" i="36"/>
  <c r="L94" i="36" s="1"/>
  <c r="M93" i="36"/>
  <c r="M94" i="36" s="1"/>
  <c r="M98" i="36" s="1"/>
  <c r="M99" i="36" s="1"/>
  <c r="I93" i="36"/>
  <c r="I94" i="36" s="1"/>
  <c r="N93" i="36"/>
  <c r="N94" i="36" s="1"/>
  <c r="H93" i="36"/>
  <c r="H94" i="36" s="1"/>
  <c r="K93" i="36"/>
  <c r="K94" i="36" s="1"/>
  <c r="K98" i="36" s="1"/>
  <c r="K99" i="36" s="1"/>
  <c r="J93" i="36"/>
  <c r="J94" i="36" s="1"/>
  <c r="AC40" i="31"/>
  <c r="Y40" i="31"/>
  <c r="M40" i="31"/>
  <c r="G40" i="31"/>
  <c r="S13" i="36"/>
  <c r="N13" i="36"/>
  <c r="N16" i="36" s="1"/>
  <c r="N44" i="36" s="1"/>
  <c r="M48" i="36"/>
  <c r="M38" i="36"/>
  <c r="I95" i="36"/>
  <c r="I96" i="36" s="1"/>
  <c r="Z81" i="41"/>
  <c r="Z83" i="41" s="1"/>
  <c r="X5" i="41"/>
  <c r="X6" i="41"/>
  <c r="X7" i="41"/>
  <c r="X3" i="41"/>
  <c r="Y67" i="41"/>
  <c r="V67" i="41"/>
  <c r="U67" i="41"/>
  <c r="T67" i="41"/>
  <c r="AF66" i="41"/>
  <c r="AF67" i="41" s="1"/>
  <c r="AE66" i="41"/>
  <c r="AE67" i="41" s="1"/>
  <c r="AD66" i="41"/>
  <c r="AD67" i="41" s="1"/>
  <c r="AC66" i="41"/>
  <c r="AC67" i="41" s="1"/>
  <c r="AB66" i="41"/>
  <c r="AB67" i="41" s="1"/>
  <c r="AA66" i="41"/>
  <c r="AA67" i="41" s="1"/>
  <c r="Z66" i="41"/>
  <c r="Z67" i="41" s="1"/>
  <c r="W66" i="41"/>
  <c r="W67" i="41" s="1"/>
  <c r="Y65" i="41"/>
  <c r="V65" i="41"/>
  <c r="U65" i="41"/>
  <c r="U69" i="41" s="1"/>
  <c r="T65" i="41"/>
  <c r="AF64" i="41"/>
  <c r="AF65" i="41" s="1"/>
  <c r="AE64" i="41"/>
  <c r="AE65" i="41" s="1"/>
  <c r="AD64" i="41"/>
  <c r="AD65" i="41" s="1"/>
  <c r="AC64" i="41"/>
  <c r="AC65" i="41" s="1"/>
  <c r="AB64" i="41"/>
  <c r="AB65" i="41" s="1"/>
  <c r="AB62" i="41"/>
  <c r="AB63" i="41" s="1"/>
  <c r="AA64" i="41"/>
  <c r="AA65" i="41" s="1"/>
  <c r="Z64" i="41"/>
  <c r="Z65" i="41" s="1"/>
  <c r="W64" i="41"/>
  <c r="W65" i="41" s="1"/>
  <c r="W62" i="41"/>
  <c r="W63" i="41" s="1"/>
  <c r="Y63" i="41"/>
  <c r="V63" i="41"/>
  <c r="V69" i="41" s="1"/>
  <c r="V70" i="41" s="1"/>
  <c r="D53" i="41"/>
  <c r="M16" i="41" s="1"/>
  <c r="U63" i="41"/>
  <c r="T63" i="41"/>
  <c r="AF62" i="41"/>
  <c r="AF63" i="41" s="1"/>
  <c r="AE62" i="41"/>
  <c r="AE63" i="41" s="1"/>
  <c r="AE69" i="41" s="1"/>
  <c r="AE70" i="41" s="1"/>
  <c r="AD62" i="41"/>
  <c r="AD63" i="41" s="1"/>
  <c r="AD69" i="41" s="1"/>
  <c r="AD70" i="41" s="1"/>
  <c r="AC62" i="41"/>
  <c r="AC63" i="41" s="1"/>
  <c r="AA62" i="41"/>
  <c r="AA63" i="41" s="1"/>
  <c r="Z62" i="41"/>
  <c r="Z63" i="41" s="1"/>
  <c r="AF60" i="41"/>
  <c r="AE60" i="41"/>
  <c r="AD60" i="41"/>
  <c r="AC60" i="41"/>
  <c r="AB60" i="41"/>
  <c r="AA60" i="41"/>
  <c r="Z60" i="41"/>
  <c r="Y60" i="41"/>
  <c r="W60" i="41"/>
  <c r="V60" i="41"/>
  <c r="U60" i="41"/>
  <c r="T60" i="41"/>
  <c r="AF59" i="41"/>
  <c r="AE59" i="41"/>
  <c r="AD59" i="41"/>
  <c r="AC59" i="41"/>
  <c r="AB59" i="41"/>
  <c r="AA59" i="41"/>
  <c r="Z59" i="41"/>
  <c r="Y59" i="41"/>
  <c r="W59" i="41"/>
  <c r="V59" i="41"/>
  <c r="U59" i="41"/>
  <c r="T59" i="41"/>
  <c r="Z58" i="41"/>
  <c r="Z57" i="41"/>
  <c r="AE54" i="41"/>
  <c r="AD54" i="41"/>
  <c r="F51" i="41"/>
  <c r="U45" i="41"/>
  <c r="V45" i="41" s="1"/>
  <c r="Z38" i="41"/>
  <c r="AB38" i="41" s="1"/>
  <c r="AB30" i="41"/>
  <c r="AA30" i="41"/>
  <c r="Z30" i="41"/>
  <c r="Y30" i="41"/>
  <c r="V30" i="41"/>
  <c r="U30" i="41"/>
  <c r="T30" i="41"/>
  <c r="AI27" i="41"/>
  <c r="AH27" i="41"/>
  <c r="S21" i="41"/>
  <c r="R21" i="41"/>
  <c r="Q21" i="41"/>
  <c r="P21" i="41"/>
  <c r="O21" i="41"/>
  <c r="N21" i="41"/>
  <c r="M21" i="41"/>
  <c r="L21" i="41"/>
  <c r="K21" i="41"/>
  <c r="J21" i="41"/>
  <c r="I21" i="41"/>
  <c r="AF20" i="41"/>
  <c r="AE20" i="41"/>
  <c r="AD20" i="41"/>
  <c r="AC20" i="41"/>
  <c r="AB20" i="41"/>
  <c r="AA20" i="41"/>
  <c r="Z20" i="41"/>
  <c r="Y20" i="41"/>
  <c r="W20" i="41"/>
  <c r="V20" i="41"/>
  <c r="U20" i="41"/>
  <c r="T20" i="41"/>
  <c r="R20" i="41"/>
  <c r="Q20" i="41"/>
  <c r="P20" i="41"/>
  <c r="O20" i="41"/>
  <c r="N20" i="41"/>
  <c r="M20" i="41"/>
  <c r="L20" i="41"/>
  <c r="K20" i="41"/>
  <c r="I20" i="41"/>
  <c r="E20" i="41"/>
  <c r="H19" i="41"/>
  <c r="H20" i="41" s="1"/>
  <c r="G19" i="41"/>
  <c r="G20" i="41" s="1"/>
  <c r="Y13" i="41"/>
  <c r="V13" i="41"/>
  <c r="U13" i="41"/>
  <c r="T13" i="41"/>
  <c r="Z54" i="41" s="1"/>
  <c r="K13" i="41"/>
  <c r="E13" i="41"/>
  <c r="Y57" i="39"/>
  <c r="Y58" i="39"/>
  <c r="AD54" i="39"/>
  <c r="AC54" i="39"/>
  <c r="U45" i="39"/>
  <c r="V45" i="39" s="1"/>
  <c r="X45" i="39"/>
  <c r="X63" i="39"/>
  <c r="X69" i="39" s="1"/>
  <c r="X65" i="39"/>
  <c r="X67" i="39"/>
  <c r="D53" i="39"/>
  <c r="AD25" i="39" s="1"/>
  <c r="AD26" i="39" s="1"/>
  <c r="AD27" i="39" s="1"/>
  <c r="X13" i="39"/>
  <c r="X30" i="39"/>
  <c r="X60" i="39"/>
  <c r="X59" i="39"/>
  <c r="X20" i="39"/>
  <c r="AB66" i="39"/>
  <c r="AB67" i="39" s="1"/>
  <c r="V67" i="39"/>
  <c r="V63" i="39"/>
  <c r="V65" i="39"/>
  <c r="U67" i="39"/>
  <c r="T67" i="39"/>
  <c r="T63" i="39"/>
  <c r="T65" i="39"/>
  <c r="AE66" i="39"/>
  <c r="AE67" i="39" s="1"/>
  <c r="AD66" i="39"/>
  <c r="AD67" i="39" s="1"/>
  <c r="AC66" i="39"/>
  <c r="AC67" i="39" s="1"/>
  <c r="AA66" i="39"/>
  <c r="AA67" i="39" s="1"/>
  <c r="Z66" i="39"/>
  <c r="Z67" i="39" s="1"/>
  <c r="Y66" i="39"/>
  <c r="Y67" i="39" s="1"/>
  <c r="W66" i="39"/>
  <c r="W67" i="39"/>
  <c r="Z64" i="39"/>
  <c r="Z65" i="39" s="1"/>
  <c r="Y64" i="39"/>
  <c r="Y65" i="39" s="1"/>
  <c r="W64" i="39"/>
  <c r="W65" i="39" s="1"/>
  <c r="U65" i="39"/>
  <c r="AE64" i="39"/>
  <c r="AE65" i="39"/>
  <c r="AD64" i="39"/>
  <c r="AD65" i="39" s="1"/>
  <c r="AC64" i="39"/>
  <c r="AC65" i="39" s="1"/>
  <c r="AC62" i="39"/>
  <c r="AC63" i="39" s="1"/>
  <c r="AB64" i="39"/>
  <c r="AB65" i="39" s="1"/>
  <c r="AB69" i="39" s="1"/>
  <c r="AB70" i="39" s="1"/>
  <c r="AA64" i="39"/>
  <c r="AA65" i="39" s="1"/>
  <c r="AB62" i="39"/>
  <c r="AB63" i="39" s="1"/>
  <c r="W62" i="39"/>
  <c r="W63" i="39"/>
  <c r="U63" i="39"/>
  <c r="U69" i="39" s="1"/>
  <c r="U70" i="39" s="1"/>
  <c r="AE62" i="39"/>
  <c r="AE63" i="39" s="1"/>
  <c r="AD62" i="39"/>
  <c r="AD63" i="39"/>
  <c r="AA62" i="39"/>
  <c r="AA63" i="39" s="1"/>
  <c r="Z62" i="39"/>
  <c r="Z63" i="39"/>
  <c r="Y62" i="39"/>
  <c r="Y63" i="39" s="1"/>
  <c r="AE60" i="39"/>
  <c r="AD60" i="39"/>
  <c r="AC60" i="39"/>
  <c r="AB60" i="39"/>
  <c r="AA60" i="39"/>
  <c r="Z60" i="39"/>
  <c r="Y60" i="39"/>
  <c r="W60" i="39"/>
  <c r="V60" i="39"/>
  <c r="U60" i="39"/>
  <c r="T60" i="39"/>
  <c r="AE59" i="39"/>
  <c r="AD59" i="39"/>
  <c r="AC59" i="39"/>
  <c r="AB59" i="39"/>
  <c r="AA59" i="39"/>
  <c r="Z59" i="39"/>
  <c r="Y59" i="39"/>
  <c r="W59" i="39"/>
  <c r="V59" i="39"/>
  <c r="U59" i="39"/>
  <c r="T59" i="39"/>
  <c r="F51" i="39"/>
  <c r="Y38" i="39"/>
  <c r="AA38" i="39" s="1"/>
  <c r="AA30" i="39"/>
  <c r="Z30" i="39"/>
  <c r="Y30" i="39"/>
  <c r="Y39" i="39" s="1"/>
  <c r="Y40" i="39" s="1"/>
  <c r="V30" i="39"/>
  <c r="U30" i="39"/>
  <c r="T30" i="39"/>
  <c r="AH27" i="39"/>
  <c r="AG27" i="39"/>
  <c r="S21" i="39"/>
  <c r="R21" i="39"/>
  <c r="Q21" i="39"/>
  <c r="P21" i="39"/>
  <c r="O21" i="39"/>
  <c r="N21" i="39"/>
  <c r="M21" i="39"/>
  <c r="L21" i="39"/>
  <c r="K21" i="39"/>
  <c r="J21" i="39"/>
  <c r="I21" i="39"/>
  <c r="AE20" i="39"/>
  <c r="AD20" i="39"/>
  <c r="AC20" i="39"/>
  <c r="AB20" i="39"/>
  <c r="AA20" i="39"/>
  <c r="Z20" i="39"/>
  <c r="Y20" i="39"/>
  <c r="W20" i="39"/>
  <c r="V20" i="39"/>
  <c r="U20" i="39"/>
  <c r="T20" i="39"/>
  <c r="R20" i="39"/>
  <c r="Q20" i="39"/>
  <c r="P20" i="39"/>
  <c r="O20" i="39"/>
  <c r="N20" i="39"/>
  <c r="M20" i="39"/>
  <c r="L20" i="39"/>
  <c r="K20" i="39"/>
  <c r="I20" i="39"/>
  <c r="G19" i="39"/>
  <c r="G20" i="39" s="1"/>
  <c r="E20" i="39"/>
  <c r="H19" i="39"/>
  <c r="H20" i="39" s="1"/>
  <c r="V13" i="39"/>
  <c r="U13" i="39"/>
  <c r="T13" i="39"/>
  <c r="Y54" i="39" s="1"/>
  <c r="K13" i="39"/>
  <c r="K16" i="39" s="1"/>
  <c r="K17" i="39" s="1"/>
  <c r="E13" i="39"/>
  <c r="Z25" i="39"/>
  <c r="Z26" i="39" s="1"/>
  <c r="Z27" i="39" s="1"/>
  <c r="E25" i="39"/>
  <c r="M95" i="36"/>
  <c r="M96" i="36" s="1"/>
  <c r="M20" i="36"/>
  <c r="K95" i="36"/>
  <c r="K96" i="36" s="1"/>
  <c r="K20" i="36"/>
  <c r="L95" i="36"/>
  <c r="L96" i="36" s="1"/>
  <c r="L20" i="36"/>
  <c r="H95" i="36"/>
  <c r="H96" i="36" s="1"/>
  <c r="N95" i="36"/>
  <c r="N96" i="36" s="1"/>
  <c r="N20" i="36"/>
  <c r="C40" i="31"/>
  <c r="Q40" i="31"/>
  <c r="J95" i="36"/>
  <c r="J96" i="36" s="1"/>
  <c r="J20" i="36"/>
  <c r="AC25" i="41"/>
  <c r="AC26" i="41" s="1"/>
  <c r="AC27" i="41" s="1"/>
  <c r="AB25" i="41"/>
  <c r="AB26" i="41" s="1"/>
  <c r="S25" i="41"/>
  <c r="I39" i="41"/>
  <c r="I40" i="41" s="1"/>
  <c r="P25" i="41"/>
  <c r="P26" i="41" s="1"/>
  <c r="I16" i="41"/>
  <c r="Q16" i="41"/>
  <c r="AC25" i="39"/>
  <c r="AC26" i="39" s="1"/>
  <c r="AC27" i="39" s="1"/>
  <c r="L39" i="39"/>
  <c r="L40" i="39" s="1"/>
  <c r="O25" i="39"/>
  <c r="O26" i="39" s="1"/>
  <c r="AD16" i="39"/>
  <c r="R39" i="39"/>
  <c r="R40" i="39"/>
  <c r="AA16" i="39"/>
  <c r="N39" i="39"/>
  <c r="N40" i="39" s="1"/>
  <c r="N16" i="39"/>
  <c r="N17" i="39" s="1"/>
  <c r="AB16" i="39"/>
  <c r="AB17" i="39" s="1"/>
  <c r="S25" i="39"/>
  <c r="AC39" i="39"/>
  <c r="AC40" i="39" s="1"/>
  <c r="K25" i="39"/>
  <c r="K26" i="39" s="1"/>
  <c r="K27" i="39" s="1"/>
  <c r="F19" i="39"/>
  <c r="F20" i="39" s="1"/>
  <c r="P25" i="39"/>
  <c r="P26" i="39" s="1"/>
  <c r="H25" i="39"/>
  <c r="H26" i="39" s="1"/>
  <c r="H27" i="39" s="1"/>
  <c r="I25" i="39"/>
  <c r="W39" i="39"/>
  <c r="W40" i="39" s="1"/>
  <c r="I17" i="41"/>
  <c r="P16" i="39"/>
  <c r="P17" i="39" s="1"/>
  <c r="X16" i="39"/>
  <c r="X17" i="39" s="1"/>
  <c r="H26" i="36"/>
  <c r="J25" i="36"/>
  <c r="J26" i="36"/>
  <c r="J27" i="36" s="1"/>
  <c r="F25" i="36"/>
  <c r="F26" i="36" s="1"/>
  <c r="J16" i="36"/>
  <c r="J17" i="36" s="1"/>
  <c r="X40" i="41"/>
  <c r="M25" i="36"/>
  <c r="M26" i="36"/>
  <c r="M27" i="36" s="1"/>
  <c r="K25" i="36"/>
  <c r="K26" i="36" s="1"/>
  <c r="K27" i="36" s="1"/>
  <c r="L16" i="36"/>
  <c r="L25" i="36"/>
  <c r="N25" i="36"/>
  <c r="N26" i="36" s="1"/>
  <c r="N27" i="36"/>
  <c r="E98" i="36"/>
  <c r="E99" i="36" s="1"/>
  <c r="L42" i="36"/>
  <c r="L43" i="36"/>
  <c r="G43" i="36"/>
  <c r="M16" i="36"/>
  <c r="M42" i="36"/>
  <c r="M43" i="36" s="1"/>
  <c r="I25" i="36"/>
  <c r="I26" i="36" s="1"/>
  <c r="I27" i="36" s="1"/>
  <c r="J42" i="36"/>
  <c r="J43" i="36" s="1"/>
  <c r="G25" i="36"/>
  <c r="G26" i="36" s="1"/>
  <c r="G27" i="36" s="1"/>
  <c r="AD17" i="39"/>
  <c r="I26" i="39"/>
  <c r="T25" i="41"/>
  <c r="T26" i="41" s="1"/>
  <c r="T27" i="41" s="1"/>
  <c r="X42" i="41"/>
  <c r="E17" i="36"/>
  <c r="V39" i="41"/>
  <c r="V40" i="41"/>
  <c r="F17" i="36"/>
  <c r="Q27" i="36"/>
  <c r="P27" i="36"/>
  <c r="V39" i="39"/>
  <c r="I17" i="36"/>
  <c r="T25" i="39"/>
  <c r="T26" i="39"/>
  <c r="T27" i="39" s="1"/>
  <c r="U23" i="41"/>
  <c r="X26" i="41"/>
  <c r="H44" i="36"/>
  <c r="H17" i="36"/>
  <c r="S23" i="36"/>
  <c r="S24" i="36" s="1"/>
  <c r="V23" i="39"/>
  <c r="V23" i="41"/>
  <c r="H27" i="36"/>
  <c r="U23" i="39"/>
  <c r="U25" i="41"/>
  <c r="V25" i="39"/>
  <c r="V26" i="39" s="1"/>
  <c r="V27" i="39" s="1"/>
  <c r="V25" i="41"/>
  <c r="F49" i="48"/>
  <c r="F51" i="48" s="1"/>
  <c r="H8" i="50"/>
  <c r="C49" i="48"/>
  <c r="C51" i="48" s="1"/>
  <c r="E41" i="48" s="1"/>
  <c r="I8" i="50"/>
  <c r="I17" i="50" s="1"/>
  <c r="W69" i="39" l="1"/>
  <c r="W70" i="39" s="1"/>
  <c r="U25" i="39"/>
  <c r="U26" i="39" s="1"/>
  <c r="U27" i="39" s="1"/>
  <c r="L44" i="36"/>
  <c r="L45" i="36" s="1"/>
  <c r="M16" i="39"/>
  <c r="M17" i="39" s="1"/>
  <c r="Z16" i="39"/>
  <c r="AE16" i="39"/>
  <c r="AE17" i="39" s="1"/>
  <c r="F25" i="39"/>
  <c r="F26" i="39" s="1"/>
  <c r="F27" i="39" s="1"/>
  <c r="L25" i="39"/>
  <c r="Y16" i="39"/>
  <c r="Y17" i="39" s="1"/>
  <c r="AC16" i="39"/>
  <c r="E39" i="39"/>
  <c r="E40" i="39" s="1"/>
  <c r="W39" i="41"/>
  <c r="W40" i="41" s="1"/>
  <c r="I25" i="41"/>
  <c r="I26" i="41" s="1"/>
  <c r="I27" i="41" s="1"/>
  <c r="AF25" i="41"/>
  <c r="AF26" i="41" s="1"/>
  <c r="AF27" i="41" s="1"/>
  <c r="K25" i="41"/>
  <c r="K26" i="41" s="1"/>
  <c r="K27" i="41" s="1"/>
  <c r="E16" i="39"/>
  <c r="V16" i="39"/>
  <c r="V17" i="39" s="1"/>
  <c r="X39" i="39"/>
  <c r="X40" i="39" s="1"/>
  <c r="V16" i="41"/>
  <c r="V17" i="41" s="1"/>
  <c r="AA25" i="41"/>
  <c r="AA26" i="41" s="1"/>
  <c r="AA27" i="41" s="1"/>
  <c r="Z69" i="41"/>
  <c r="Z70" i="41" s="1"/>
  <c r="X70" i="39"/>
  <c r="X23" i="39" s="1"/>
  <c r="X25" i="39" s="1"/>
  <c r="K16" i="41"/>
  <c r="K17" i="41" s="1"/>
  <c r="AA16" i="41"/>
  <c r="AA17" i="41" s="1"/>
  <c r="Y69" i="41"/>
  <c r="Y70" i="41" s="1"/>
  <c r="Y23" i="41" s="1"/>
  <c r="Y25" i="41" s="1"/>
  <c r="H98" i="36"/>
  <c r="H99" i="36" s="1"/>
  <c r="U70" i="41"/>
  <c r="M44" i="36"/>
  <c r="J16" i="39"/>
  <c r="G25" i="39"/>
  <c r="G26" i="39" s="1"/>
  <c r="G27" i="39" s="1"/>
  <c r="N25" i="39"/>
  <c r="N26" i="39" s="1"/>
  <c r="K39" i="39"/>
  <c r="I39" i="39"/>
  <c r="L16" i="39"/>
  <c r="W16" i="39"/>
  <c r="W17" i="39" s="1"/>
  <c r="M39" i="39"/>
  <c r="M40" i="39" s="1"/>
  <c r="Q16" i="39"/>
  <c r="Q17" i="39" s="1"/>
  <c r="H16" i="39"/>
  <c r="H17" i="39" s="1"/>
  <c r="O39" i="39"/>
  <c r="O40" i="39" s="1"/>
  <c r="Q25" i="41"/>
  <c r="O39" i="41"/>
  <c r="O40" i="41" s="1"/>
  <c r="L25" i="41"/>
  <c r="U16" i="39"/>
  <c r="U17" i="39" s="1"/>
  <c r="AA39" i="39"/>
  <c r="AA40" i="39" s="1"/>
  <c r="U16" i="41"/>
  <c r="U17" i="41" s="1"/>
  <c r="AF39" i="41"/>
  <c r="G16" i="36"/>
  <c r="D19" i="52"/>
  <c r="D44" i="48"/>
  <c r="C9" i="52"/>
  <c r="F20" i="50"/>
  <c r="I20" i="50"/>
  <c r="D5" i="50"/>
  <c r="C105" i="49"/>
  <c r="C106" i="49" s="1"/>
  <c r="C45" i="49"/>
  <c r="C5" i="52" s="1"/>
  <c r="C19" i="52" s="1"/>
  <c r="C63" i="49"/>
  <c r="I45" i="49"/>
  <c r="I5" i="52" s="1"/>
  <c r="I19" i="52" s="1"/>
  <c r="I63" i="49"/>
  <c r="D45" i="48"/>
  <c r="E9" i="50"/>
  <c r="D19" i="50"/>
  <c r="D22" i="50" s="1"/>
  <c r="B45" i="49"/>
  <c r="E46" i="49"/>
  <c r="E6" i="52" s="1"/>
  <c r="F46" i="49"/>
  <c r="J15" i="49"/>
  <c r="J17" i="49" s="1"/>
  <c r="J18" i="49" s="1"/>
  <c r="F16" i="50"/>
  <c r="Z69" i="39"/>
  <c r="Z70" i="39" s="1"/>
  <c r="T69" i="41"/>
  <c r="T70" i="41" s="1"/>
  <c r="Y29" i="39"/>
  <c r="L26" i="39"/>
  <c r="J98" i="36"/>
  <c r="J99" i="36" s="1"/>
  <c r="W41" i="39"/>
  <c r="W42" i="39" s="1"/>
  <c r="I41" i="41"/>
  <c r="I42" i="41" s="1"/>
  <c r="I46" i="41" s="1"/>
  <c r="Q17" i="41"/>
  <c r="H45" i="36"/>
  <c r="H51" i="36" s="1"/>
  <c r="H46" i="36"/>
  <c r="H47" i="36" s="1"/>
  <c r="J17" i="39"/>
  <c r="J41" i="39"/>
  <c r="J42" i="39" s="1"/>
  <c r="K44" i="36"/>
  <c r="K46" i="36" s="1"/>
  <c r="K47" i="36" s="1"/>
  <c r="L26" i="41"/>
  <c r="J60" i="36"/>
  <c r="T16" i="41"/>
  <c r="T17" i="41" s="1"/>
  <c r="E39" i="41"/>
  <c r="E40" i="41" s="1"/>
  <c r="L39" i="41"/>
  <c r="F19" i="41"/>
  <c r="F20" i="41" s="1"/>
  <c r="AC39" i="41"/>
  <c r="AC40" i="41" s="1"/>
  <c r="H39" i="41"/>
  <c r="H40" i="41" s="1"/>
  <c r="F16" i="41"/>
  <c r="T69" i="39"/>
  <c r="T70" i="39" s="1"/>
  <c r="Y39" i="41"/>
  <c r="Y40" i="41" s="1"/>
  <c r="L98" i="36"/>
  <c r="L99" i="36" s="1"/>
  <c r="G98" i="36"/>
  <c r="G99" i="36" s="1"/>
  <c r="J44" i="36"/>
  <c r="J25" i="39"/>
  <c r="M25" i="39"/>
  <c r="F16" i="39"/>
  <c r="F17" i="39" s="1"/>
  <c r="I16" i="39"/>
  <c r="I17" i="39" s="1"/>
  <c r="Q25" i="39"/>
  <c r="Q26" i="39" s="1"/>
  <c r="S16" i="39"/>
  <c r="F39" i="39"/>
  <c r="O16" i="39"/>
  <c r="P39" i="39"/>
  <c r="P40" i="39" s="1"/>
  <c r="Z16" i="41"/>
  <c r="Z17" i="41" s="1"/>
  <c r="Z25" i="41"/>
  <c r="Z26" i="41" s="1"/>
  <c r="Z27" i="41" s="1"/>
  <c r="AD39" i="41"/>
  <c r="AD40" i="41" s="1"/>
  <c r="Q39" i="41"/>
  <c r="Q40" i="41" s="1"/>
  <c r="L16" i="41"/>
  <c r="L17" i="41" s="1"/>
  <c r="S16" i="41"/>
  <c r="K39" i="41"/>
  <c r="G25" i="41"/>
  <c r="G26" i="41" s="1"/>
  <c r="Y69" i="39"/>
  <c r="Y70" i="39" s="1"/>
  <c r="E16" i="41"/>
  <c r="Z39" i="41"/>
  <c r="Z40" i="41" s="1"/>
  <c r="M41" i="39"/>
  <c r="M42" i="39" s="1"/>
  <c r="H25" i="41"/>
  <c r="R16" i="41"/>
  <c r="R17" i="41" s="1"/>
  <c r="AB16" i="41"/>
  <c r="AB17" i="41" s="1"/>
  <c r="AB69" i="41"/>
  <c r="AB70" i="41" s="1"/>
  <c r="V41" i="41"/>
  <c r="V42" i="41" s="1"/>
  <c r="AA17" i="39"/>
  <c r="X41" i="39"/>
  <c r="X42" i="39" s="1"/>
  <c r="Z17" i="39"/>
  <c r="I44" i="36"/>
  <c r="L17" i="36"/>
  <c r="Z39" i="39"/>
  <c r="Z40" i="39" s="1"/>
  <c r="W25" i="39"/>
  <c r="W26" i="39" s="1"/>
  <c r="W27" i="39" s="1"/>
  <c r="Q39" i="39"/>
  <c r="Q40" i="39" s="1"/>
  <c r="R16" i="39"/>
  <c r="AB39" i="39"/>
  <c r="AB40" i="39" s="1"/>
  <c r="H39" i="39"/>
  <c r="H40" i="39" s="1"/>
  <c r="Y25" i="39"/>
  <c r="Y26" i="39" s="1"/>
  <c r="Y27" i="39" s="1"/>
  <c r="R25" i="39"/>
  <c r="R26" i="39" s="1"/>
  <c r="F39" i="41"/>
  <c r="F40" i="41" s="1"/>
  <c r="AE39" i="41"/>
  <c r="AE40" i="41" s="1"/>
  <c r="Y16" i="41"/>
  <c r="AF16" i="41"/>
  <c r="AF17" i="41" s="1"/>
  <c r="M25" i="41"/>
  <c r="P39" i="41"/>
  <c r="P40" i="41" s="1"/>
  <c r="N16" i="41"/>
  <c r="R39" i="41"/>
  <c r="R40" i="41" s="1"/>
  <c r="I98" i="36"/>
  <c r="I99" i="36" s="1"/>
  <c r="E42" i="36"/>
  <c r="T39" i="39" s="1"/>
  <c r="T40" i="39" s="1"/>
  <c r="Y56" i="39" s="1"/>
  <c r="J105" i="49"/>
  <c r="J106" i="49" s="1"/>
  <c r="AD25" i="41"/>
  <c r="AD26" i="41" s="1"/>
  <c r="AE16" i="41"/>
  <c r="M39" i="41"/>
  <c r="M40" i="41" s="1"/>
  <c r="E25" i="41"/>
  <c r="AE25" i="41"/>
  <c r="W25" i="41"/>
  <c r="W26" i="41" s="1"/>
  <c r="W27" i="41" s="1"/>
  <c r="AD69" i="39"/>
  <c r="AD70" i="39" s="1"/>
  <c r="N41" i="39"/>
  <c r="N39" i="41"/>
  <c r="N40" i="41" s="1"/>
  <c r="J16" i="41"/>
  <c r="AA39" i="41"/>
  <c r="AA40" i="41" s="1"/>
  <c r="R25" i="41"/>
  <c r="R26" i="41" s="1"/>
  <c r="P16" i="41"/>
  <c r="P17" i="41" s="1"/>
  <c r="W16" i="41"/>
  <c r="F25" i="41"/>
  <c r="F26" i="41" s="1"/>
  <c r="J39" i="41"/>
  <c r="J40" i="41" s="1"/>
  <c r="G39" i="41"/>
  <c r="G40" i="41" s="1"/>
  <c r="AC69" i="41"/>
  <c r="AC70" i="41" s="1"/>
  <c r="G16" i="39"/>
  <c r="AD39" i="39"/>
  <c r="AD40" i="39" s="1"/>
  <c r="AA25" i="39"/>
  <c r="AA26" i="39" s="1"/>
  <c r="AA27" i="39" s="1"/>
  <c r="AE25" i="39"/>
  <c r="AE26" i="39" s="1"/>
  <c r="AE27" i="39" s="1"/>
  <c r="J39" i="39"/>
  <c r="J40" i="39" s="1"/>
  <c r="G39" i="39"/>
  <c r="G40" i="39" s="1"/>
  <c r="AB25" i="39"/>
  <c r="AE39" i="39"/>
  <c r="AE40" i="39" s="1"/>
  <c r="J25" i="41"/>
  <c r="J26" i="41" s="1"/>
  <c r="H16" i="41"/>
  <c r="O16" i="41"/>
  <c r="AC16" i="41"/>
  <c r="AC17" i="41" s="1"/>
  <c r="O25" i="41"/>
  <c r="O26" i="41" s="1"/>
  <c r="AD16" i="41"/>
  <c r="AD41" i="41" s="1"/>
  <c r="AD42" i="41" s="1"/>
  <c r="N25" i="41"/>
  <c r="N26" i="41" s="1"/>
  <c r="G16" i="41"/>
  <c r="AF69" i="41"/>
  <c r="AF70" i="41" s="1"/>
  <c r="W69" i="41"/>
  <c r="W70" i="41" s="1"/>
  <c r="K52" i="49"/>
  <c r="D52" i="49" s="1"/>
  <c r="D56" i="49" s="1"/>
  <c r="G52" i="49"/>
  <c r="G56" i="49" s="1"/>
  <c r="B105" i="49"/>
  <c r="B106" i="49" s="1"/>
  <c r="I17" i="49"/>
  <c r="I18" i="49" s="1"/>
  <c r="H15" i="49"/>
  <c r="H17" i="49" s="1"/>
  <c r="I105" i="49"/>
  <c r="I106" i="49" s="1"/>
  <c r="I34" i="49"/>
  <c r="H34" i="49" s="1"/>
  <c r="I38" i="49"/>
  <c r="H38" i="49" s="1"/>
  <c r="D30" i="48"/>
  <c r="E44" i="49"/>
  <c r="F17" i="50"/>
  <c r="D49" i="48"/>
  <c r="D51" i="48" s="1"/>
  <c r="D41" i="48" s="1"/>
  <c r="J56" i="49"/>
  <c r="F105" i="49"/>
  <c r="F106" i="49" s="1"/>
  <c r="C97" i="49"/>
  <c r="E105" i="49"/>
  <c r="E106" i="49" s="1"/>
  <c r="G19" i="50"/>
  <c r="R42" i="48"/>
  <c r="F70" i="48"/>
  <c r="G17" i="50"/>
  <c r="N45" i="36"/>
  <c r="N51" i="36" s="1"/>
  <c r="N46" i="36"/>
  <c r="N47" i="36" s="1"/>
  <c r="U26" i="41"/>
  <c r="N17" i="36"/>
  <c r="L26" i="36"/>
  <c r="L46" i="36"/>
  <c r="L47" i="36" s="1"/>
  <c r="F40" i="39"/>
  <c r="O41" i="39"/>
  <c r="O17" i="39"/>
  <c r="E41" i="39"/>
  <c r="E42" i="39" s="1"/>
  <c r="E17" i="39"/>
  <c r="I27" i="49"/>
  <c r="I28" i="49" s="1"/>
  <c r="K54" i="36"/>
  <c r="V41" i="39"/>
  <c r="V40" i="39"/>
  <c r="X26" i="39"/>
  <c r="L18" i="49"/>
  <c r="L63" i="49"/>
  <c r="K40" i="41"/>
  <c r="K41" i="41"/>
  <c r="Y26" i="41"/>
  <c r="F27" i="36"/>
  <c r="I27" i="39"/>
  <c r="H54" i="36"/>
  <c r="M45" i="36"/>
  <c r="M46" i="36"/>
  <c r="M47" i="36" s="1"/>
  <c r="T16" i="39"/>
  <c r="O17" i="41"/>
  <c r="O41" i="41"/>
  <c r="I40" i="39"/>
  <c r="J27" i="41"/>
  <c r="H17" i="50"/>
  <c r="K45" i="36"/>
  <c r="K51" i="36" s="1"/>
  <c r="Y41" i="39"/>
  <c r="V69" i="39"/>
  <c r="V70" i="39" s="1"/>
  <c r="K45" i="49"/>
  <c r="K63" i="49"/>
  <c r="V26" i="41"/>
  <c r="AC69" i="39"/>
  <c r="AC70" i="39" s="1"/>
  <c r="AB39" i="41"/>
  <c r="AB40" i="41" s="1"/>
  <c r="Z29" i="41"/>
  <c r="M17" i="36"/>
  <c r="X17" i="41" s="1"/>
  <c r="K40" i="39"/>
  <c r="K41" i="39"/>
  <c r="E26" i="39"/>
  <c r="X45" i="41"/>
  <c r="Y45" i="41"/>
  <c r="C53" i="49"/>
  <c r="H26" i="41"/>
  <c r="F18" i="49"/>
  <c r="Q41" i="39"/>
  <c r="Q42" i="39" s="1"/>
  <c r="F27" i="41"/>
  <c r="N98" i="36"/>
  <c r="N99" i="36" s="1"/>
  <c r="D105" i="49"/>
  <c r="D106" i="49" s="1"/>
  <c r="E18" i="49"/>
  <c r="M41" i="41"/>
  <c r="M42" i="41" s="1"/>
  <c r="AE69" i="39"/>
  <c r="AE70" i="39" s="1"/>
  <c r="AB27" i="41"/>
  <c r="Q26" i="41"/>
  <c r="AA69" i="39"/>
  <c r="AA70" i="39" s="1"/>
  <c r="K105" i="49"/>
  <c r="K106" i="49" s="1"/>
  <c r="L105" i="49"/>
  <c r="L106" i="49" s="1"/>
  <c r="F42" i="36"/>
  <c r="R41" i="41"/>
  <c r="M17" i="41"/>
  <c r="AF40" i="41"/>
  <c r="AA69" i="41"/>
  <c r="AA70" i="41" s="1"/>
  <c r="L56" i="49"/>
  <c r="M42" i="48"/>
  <c r="G17" i="36" l="1"/>
  <c r="G44" i="36"/>
  <c r="Y53" i="39"/>
  <c r="AA53" i="39" s="1"/>
  <c r="M43" i="41"/>
  <c r="C11" i="52"/>
  <c r="H12" i="52" s="1"/>
  <c r="H13" i="52" s="1"/>
  <c r="L41" i="39"/>
  <c r="L17" i="39"/>
  <c r="AA41" i="39"/>
  <c r="P41" i="41"/>
  <c r="H41" i="39"/>
  <c r="X46" i="41"/>
  <c r="W43" i="39"/>
  <c r="W44" i="39" s="1"/>
  <c r="E44" i="36"/>
  <c r="T39" i="41"/>
  <c r="P41" i="39"/>
  <c r="AA41" i="41"/>
  <c r="AA42" i="41" s="1"/>
  <c r="W49" i="39"/>
  <c r="AC41" i="39"/>
  <c r="AC17" i="39"/>
  <c r="AC41" i="41"/>
  <c r="E43" i="36"/>
  <c r="N41" i="41"/>
  <c r="J49" i="49"/>
  <c r="J50" i="49" s="1"/>
  <c r="B5" i="52"/>
  <c r="B56" i="49"/>
  <c r="H57" i="49" s="1"/>
  <c r="L49" i="49"/>
  <c r="L50" i="49" s="1"/>
  <c r="N41" i="49"/>
  <c r="D46" i="49"/>
  <c r="D6" i="52" s="1"/>
  <c r="D11" i="52" s="1"/>
  <c r="D6" i="50"/>
  <c r="D11" i="50" s="1"/>
  <c r="E45" i="49"/>
  <c r="E5" i="52" s="1"/>
  <c r="E63" i="49"/>
  <c r="E64" i="49" s="1"/>
  <c r="F6" i="50"/>
  <c r="G46" i="49"/>
  <c r="F63" i="49"/>
  <c r="F64" i="49" s="1"/>
  <c r="F45" i="49"/>
  <c r="F5" i="52" s="1"/>
  <c r="D31" i="48"/>
  <c r="AA46" i="41"/>
  <c r="AA48" i="41" s="1"/>
  <c r="AA49" i="41"/>
  <c r="Z41" i="41"/>
  <c r="Z43" i="41" s="1"/>
  <c r="Z44" i="41" s="1"/>
  <c r="M26" i="41"/>
  <c r="G41" i="41"/>
  <c r="G17" i="41"/>
  <c r="J17" i="41"/>
  <c r="J41" i="41"/>
  <c r="AE41" i="39"/>
  <c r="I45" i="36"/>
  <c r="I46" i="36"/>
  <c r="I47" i="36" s="1"/>
  <c r="L41" i="41"/>
  <c r="L40" i="41"/>
  <c r="I49" i="41"/>
  <c r="N17" i="41"/>
  <c r="AB26" i="39"/>
  <c r="AB27" i="39" s="1"/>
  <c r="AE17" i="41"/>
  <c r="AE41" i="41"/>
  <c r="AE42" i="41" s="1"/>
  <c r="AD41" i="39"/>
  <c r="Z41" i="39"/>
  <c r="I43" i="41"/>
  <c r="I44" i="41" s="1"/>
  <c r="N43" i="39"/>
  <c r="N42" i="39"/>
  <c r="E17" i="41"/>
  <c r="E41" i="41"/>
  <c r="E42" i="41" s="1"/>
  <c r="AD17" i="41"/>
  <c r="F41" i="39"/>
  <c r="M26" i="39"/>
  <c r="M43" i="39"/>
  <c r="F41" i="41"/>
  <c r="F42" i="41" s="1"/>
  <c r="F46" i="41" s="1"/>
  <c r="F47" i="41" s="1"/>
  <c r="F17" i="41"/>
  <c r="V43" i="41"/>
  <c r="V44" i="41" s="1"/>
  <c r="E43" i="39"/>
  <c r="E44" i="39" s="1"/>
  <c r="W46" i="39"/>
  <c r="W48" i="39" s="1"/>
  <c r="AE26" i="41"/>
  <c r="G27" i="41"/>
  <c r="J43" i="39"/>
  <c r="J44" i="39" s="1"/>
  <c r="J26" i="39"/>
  <c r="R17" i="39"/>
  <c r="R41" i="39"/>
  <c r="AF41" i="41"/>
  <c r="AA43" i="41"/>
  <c r="AA44" i="41" s="1"/>
  <c r="N54" i="36"/>
  <c r="H41" i="41"/>
  <c r="H42" i="41" s="1"/>
  <c r="H17" i="41"/>
  <c r="E26" i="41"/>
  <c r="J46" i="36"/>
  <c r="J47" i="36" s="1"/>
  <c r="J45" i="36"/>
  <c r="Q41" i="41"/>
  <c r="AB41" i="39"/>
  <c r="AB42" i="39" s="1"/>
  <c r="AB46" i="39" s="1"/>
  <c r="AB48" i="39" s="1"/>
  <c r="W41" i="41"/>
  <c r="W42" i="41" s="1"/>
  <c r="W49" i="41" s="1"/>
  <c r="W17" i="41"/>
  <c r="Y41" i="41"/>
  <c r="Y17" i="41"/>
  <c r="Y74" i="41" s="1"/>
  <c r="Z74" i="41" s="1"/>
  <c r="I41" i="39"/>
  <c r="Q43" i="39"/>
  <c r="Q44" i="39" s="1"/>
  <c r="W46" i="41"/>
  <c r="W48" i="41" s="1"/>
  <c r="X43" i="39"/>
  <c r="X44" i="39" s="1"/>
  <c r="G17" i="39"/>
  <c r="G41" i="39"/>
  <c r="I53" i="49"/>
  <c r="F18" i="50" s="1"/>
  <c r="G57" i="49"/>
  <c r="I64" i="49"/>
  <c r="H63" i="49"/>
  <c r="H18" i="49"/>
  <c r="G60" i="49"/>
  <c r="G61" i="49" s="1"/>
  <c r="D60" i="49"/>
  <c r="D61" i="49" s="1"/>
  <c r="J63" i="49"/>
  <c r="J64" i="49" s="1"/>
  <c r="J59" i="49" s="1"/>
  <c r="J58" i="49"/>
  <c r="G22" i="50"/>
  <c r="L57" i="49"/>
  <c r="J60" i="49"/>
  <c r="J61" i="49" s="1"/>
  <c r="C47" i="49"/>
  <c r="C48" i="49" s="1"/>
  <c r="C64" i="49"/>
  <c r="K43" i="41"/>
  <c r="K44" i="41" s="1"/>
  <c r="K42" i="41"/>
  <c r="O43" i="39"/>
  <c r="O42" i="39"/>
  <c r="AD46" i="41"/>
  <c r="AD48" i="41" s="1"/>
  <c r="AD27" i="41"/>
  <c r="AD49" i="41" s="1"/>
  <c r="AD51" i="41" s="1"/>
  <c r="Y75" i="41"/>
  <c r="Z75" i="41" s="1"/>
  <c r="Y27" i="41"/>
  <c r="AF42" i="41"/>
  <c r="AF43" i="41"/>
  <c r="AF44" i="41" s="1"/>
  <c r="K43" i="39"/>
  <c r="K44" i="39" s="1"/>
  <c r="K42" i="39"/>
  <c r="AD43" i="41"/>
  <c r="AD44" i="41" s="1"/>
  <c r="P43" i="41"/>
  <c r="P42" i="41"/>
  <c r="D18" i="49"/>
  <c r="E27" i="39"/>
  <c r="E49" i="39" s="1"/>
  <c r="E46" i="39"/>
  <c r="K47" i="49"/>
  <c r="K48" i="49" s="1"/>
  <c r="K64" i="49"/>
  <c r="K59" i="49" s="1"/>
  <c r="F43" i="39"/>
  <c r="F44" i="39" s="1"/>
  <c r="F42" i="39"/>
  <c r="F43" i="36"/>
  <c r="U39" i="41"/>
  <c r="F44" i="36"/>
  <c r="U39" i="39"/>
  <c r="M44" i="41"/>
  <c r="M46" i="41"/>
  <c r="M47" i="41" s="1"/>
  <c r="V27" i="41"/>
  <c r="V49" i="41" s="1"/>
  <c r="V46" i="41"/>
  <c r="K56" i="49"/>
  <c r="K57" i="49" s="1"/>
  <c r="K49" i="49"/>
  <c r="K50" i="49" s="1"/>
  <c r="E46" i="36"/>
  <c r="E47" i="36" s="1"/>
  <c r="E45" i="36"/>
  <c r="AC42" i="41"/>
  <c r="AC43" i="41"/>
  <c r="AC44" i="41" s="1"/>
  <c r="L47" i="49"/>
  <c r="L48" i="49" s="1"/>
  <c r="L64" i="49"/>
  <c r="L59" i="49" s="1"/>
  <c r="C18" i="50"/>
  <c r="C22" i="50" s="1"/>
  <c r="C56" i="49"/>
  <c r="P43" i="39"/>
  <c r="P42" i="39"/>
  <c r="R42" i="41"/>
  <c r="R43" i="41"/>
  <c r="N42" i="48"/>
  <c r="Y43" i="39"/>
  <c r="Y44" i="39" s="1"/>
  <c r="Y42" i="39"/>
  <c r="T40" i="41"/>
  <c r="T41" i="41"/>
  <c r="L27" i="36"/>
  <c r="L54" i="36" s="1"/>
  <c r="L51" i="36"/>
  <c r="U27" i="41"/>
  <c r="H27" i="41"/>
  <c r="H49" i="41" s="1"/>
  <c r="H46" i="41"/>
  <c r="Z42" i="41"/>
  <c r="Z46" i="41" s="1"/>
  <c r="Z48" i="41" s="1"/>
  <c r="M54" i="36"/>
  <c r="M51" i="36"/>
  <c r="H43" i="39"/>
  <c r="H44" i="39" s="1"/>
  <c r="H42" i="39"/>
  <c r="AB41" i="41"/>
  <c r="O43" i="41"/>
  <c r="O42" i="41"/>
  <c r="V42" i="39"/>
  <c r="V43" i="39"/>
  <c r="V44" i="39" s="1"/>
  <c r="K69" i="49"/>
  <c r="L60" i="49"/>
  <c r="L61" i="49" s="1"/>
  <c r="L58" i="49"/>
  <c r="B64" i="49"/>
  <c r="B47" i="49"/>
  <c r="B48" i="49" s="1"/>
  <c r="I42" i="39"/>
  <c r="I46" i="39" s="1"/>
  <c r="I43" i="39"/>
  <c r="I44" i="39" s="1"/>
  <c r="T17" i="39"/>
  <c r="T41" i="39"/>
  <c r="X27" i="39"/>
  <c r="X49" i="39" s="1"/>
  <c r="X46" i="39"/>
  <c r="H43" i="41" l="1"/>
  <c r="H44" i="41" s="1"/>
  <c r="AA42" i="39"/>
  <c r="AA43" i="39"/>
  <c r="AA44" i="39" s="1"/>
  <c r="F49" i="41"/>
  <c r="N42" i="41"/>
  <c r="N43" i="41"/>
  <c r="AC43" i="39"/>
  <c r="AC44" i="39" s="1"/>
  <c r="AC42" i="39"/>
  <c r="L42" i="39"/>
  <c r="L43" i="39"/>
  <c r="G46" i="36"/>
  <c r="G47" i="36" s="1"/>
  <c r="G45" i="36"/>
  <c r="F43" i="41"/>
  <c r="F44" i="41" s="1"/>
  <c r="D57" i="49"/>
  <c r="J57" i="49"/>
  <c r="E19" i="52"/>
  <c r="E11" i="52"/>
  <c r="H60" i="49"/>
  <c r="H61" i="49" s="1"/>
  <c r="B19" i="52"/>
  <c r="B11" i="52"/>
  <c r="D12" i="52" s="1"/>
  <c r="D13" i="52" s="1"/>
  <c r="F11" i="52"/>
  <c r="F19" i="52"/>
  <c r="Q42" i="48"/>
  <c r="E5" i="50"/>
  <c r="E19" i="50" s="1"/>
  <c r="E22" i="50" s="1"/>
  <c r="E56" i="49"/>
  <c r="E57" i="49" s="1"/>
  <c r="H5" i="50"/>
  <c r="H19" i="50" s="1"/>
  <c r="H22" i="50" s="1"/>
  <c r="H23" i="50" s="1"/>
  <c r="H24" i="50" s="1"/>
  <c r="P42" i="48"/>
  <c r="E59" i="49"/>
  <c r="E65" i="49"/>
  <c r="E66" i="49" s="1"/>
  <c r="C59" i="49"/>
  <c r="C5" i="50"/>
  <c r="C65" i="49"/>
  <c r="C66" i="49" s="1"/>
  <c r="I59" i="49"/>
  <c r="I65" i="49"/>
  <c r="I66" i="49" s="1"/>
  <c r="G6" i="50"/>
  <c r="G11" i="50" s="1"/>
  <c r="G63" i="49"/>
  <c r="B59" i="49"/>
  <c r="B5" i="50"/>
  <c r="H66" i="49"/>
  <c r="E6" i="50"/>
  <c r="E11" i="50" s="1"/>
  <c r="D63" i="49"/>
  <c r="F5" i="50"/>
  <c r="F11" i="50" s="1"/>
  <c r="I5" i="50"/>
  <c r="I19" i="50" s="1"/>
  <c r="F59" i="49"/>
  <c r="F65" i="49"/>
  <c r="F66" i="49" s="1"/>
  <c r="F56" i="49"/>
  <c r="F60" i="49" s="1"/>
  <c r="F61" i="49" s="1"/>
  <c r="E47" i="49"/>
  <c r="E48" i="49" s="1"/>
  <c r="E49" i="49" s="1"/>
  <c r="E50" i="49" s="1"/>
  <c r="G42" i="39"/>
  <c r="G43" i="39"/>
  <c r="G44" i="39" s="1"/>
  <c r="AE27" i="41"/>
  <c r="AE49" i="41" s="1"/>
  <c r="AE51" i="41" s="1"/>
  <c r="AE46" i="41"/>
  <c r="AE48" i="41" s="1"/>
  <c r="Z42" i="39"/>
  <c r="Z43" i="39"/>
  <c r="Z44" i="39" s="1"/>
  <c r="AD42" i="39"/>
  <c r="AD43" i="39"/>
  <c r="AD44" i="39" s="1"/>
  <c r="G42" i="41"/>
  <c r="G46" i="41" s="1"/>
  <c r="G43" i="41"/>
  <c r="G44" i="41" s="1"/>
  <c r="L42" i="41"/>
  <c r="L43" i="41"/>
  <c r="J54" i="36"/>
  <c r="J51" i="36"/>
  <c r="I51" i="36"/>
  <c r="I54" i="36"/>
  <c r="AB49" i="39"/>
  <c r="AB51" i="39" s="1"/>
  <c r="AE42" i="39"/>
  <c r="AE43" i="39"/>
  <c r="AE44" i="39" s="1"/>
  <c r="J27" i="39"/>
  <c r="J49" i="39" s="1"/>
  <c r="J46" i="39"/>
  <c r="E43" i="41"/>
  <c r="E44" i="41" s="1"/>
  <c r="G49" i="41"/>
  <c r="N44" i="39"/>
  <c r="N46" i="39"/>
  <c r="W43" i="41"/>
  <c r="W44" i="41" s="1"/>
  <c r="J42" i="41"/>
  <c r="J43" i="41"/>
  <c r="J44" i="41" s="1"/>
  <c r="Q42" i="41"/>
  <c r="Q43" i="41"/>
  <c r="AB43" i="39"/>
  <c r="AB44" i="39" s="1"/>
  <c r="Q46" i="39"/>
  <c r="Y42" i="41"/>
  <c r="Y46" i="41" s="1"/>
  <c r="Y43" i="41"/>
  <c r="Y44" i="41" s="1"/>
  <c r="E46" i="41"/>
  <c r="G47" i="41" s="1"/>
  <c r="E27" i="41"/>
  <c r="E49" i="41" s="1"/>
  <c r="R43" i="39"/>
  <c r="R42" i="39"/>
  <c r="AE43" i="41"/>
  <c r="AE44" i="41" s="1"/>
  <c r="M46" i="39"/>
  <c r="M47" i="39" s="1"/>
  <c r="M44" i="39"/>
  <c r="I56" i="49"/>
  <c r="I57" i="49" s="1"/>
  <c r="O42" i="48"/>
  <c r="G58" i="49"/>
  <c r="H64" i="49"/>
  <c r="H59" i="49" s="1"/>
  <c r="H47" i="49"/>
  <c r="H48" i="49" s="1"/>
  <c r="H49" i="49" s="1"/>
  <c r="H50" i="49" s="1"/>
  <c r="I47" i="49"/>
  <c r="I48" i="49" s="1"/>
  <c r="I49" i="49" s="1"/>
  <c r="I50" i="49" s="1"/>
  <c r="J47" i="49"/>
  <c r="J48" i="49" s="1"/>
  <c r="F47" i="49"/>
  <c r="F48" i="49" s="1"/>
  <c r="F49" i="49" s="1"/>
  <c r="F50" i="49" s="1"/>
  <c r="E60" i="49"/>
  <c r="E61" i="49" s="1"/>
  <c r="H11" i="50"/>
  <c r="G23" i="50"/>
  <c r="G24" i="50" s="1"/>
  <c r="I50" i="41"/>
  <c r="I51" i="41"/>
  <c r="AC49" i="41"/>
  <c r="AC51" i="41" s="1"/>
  <c r="AC46" i="41"/>
  <c r="AC48" i="41" s="1"/>
  <c r="Y76" i="41"/>
  <c r="Z76" i="41" s="1"/>
  <c r="Z53" i="41"/>
  <c r="AB53" i="41" s="1"/>
  <c r="Z56" i="41"/>
  <c r="S48" i="39"/>
  <c r="Y80" i="41"/>
  <c r="Y81" i="41" s="1"/>
  <c r="H49" i="39"/>
  <c r="H46" i="39"/>
  <c r="T42" i="41"/>
  <c r="T43" i="41"/>
  <c r="T44" i="41" s="1"/>
  <c r="Q47" i="39"/>
  <c r="F46" i="39"/>
  <c r="F47" i="39" s="1"/>
  <c r="F49" i="39"/>
  <c r="C49" i="49"/>
  <c r="C50" i="49" s="1"/>
  <c r="E51" i="36"/>
  <c r="L53" i="36" s="1"/>
  <c r="E54" i="36"/>
  <c r="M56" i="36" s="1"/>
  <c r="U41" i="39"/>
  <c r="U40" i="39"/>
  <c r="AB53" i="39" s="1"/>
  <c r="AB54" i="39" s="1"/>
  <c r="K46" i="39"/>
  <c r="K49" i="39"/>
  <c r="C58" i="49"/>
  <c r="C60" i="49"/>
  <c r="C61" i="49" s="1"/>
  <c r="C57" i="49"/>
  <c r="V49" i="39"/>
  <c r="V46" i="39"/>
  <c r="R46" i="41"/>
  <c r="R44" i="41"/>
  <c r="D64" i="49"/>
  <c r="D47" i="49"/>
  <c r="D48" i="49" s="1"/>
  <c r="D49" i="49" s="1"/>
  <c r="D50" i="49" s="1"/>
  <c r="K46" i="41"/>
  <c r="K48" i="41" s="1"/>
  <c r="K49" i="41"/>
  <c r="K51" i="41" s="1"/>
  <c r="P46" i="41"/>
  <c r="P44" i="41"/>
  <c r="O46" i="41"/>
  <c r="O44" i="41"/>
  <c r="I49" i="39"/>
  <c r="Y46" i="39"/>
  <c r="Y48" i="39" s="1"/>
  <c r="Y49" i="39"/>
  <c r="P44" i="39"/>
  <c r="P46" i="39"/>
  <c r="P47" i="39" s="1"/>
  <c r="K60" i="49"/>
  <c r="K61" i="49" s="1"/>
  <c r="K58" i="49"/>
  <c r="D58" i="49"/>
  <c r="U41" i="41"/>
  <c r="U40" i="41"/>
  <c r="AC53" i="41" s="1"/>
  <c r="AC54" i="41" s="1"/>
  <c r="O46" i="39"/>
  <c r="O48" i="39" s="1"/>
  <c r="O44" i="39"/>
  <c r="F46" i="36"/>
  <c r="F47" i="36" s="1"/>
  <c r="F45" i="36"/>
  <c r="Z49" i="41"/>
  <c r="T42" i="39"/>
  <c r="T43" i="39"/>
  <c r="T44" i="39" s="1"/>
  <c r="AB42" i="41"/>
  <c r="AB43" i="41"/>
  <c r="AB44" i="41" s="1"/>
  <c r="K47" i="41"/>
  <c r="I47" i="41"/>
  <c r="I48" i="41"/>
  <c r="AF49" i="41"/>
  <c r="AF46" i="41"/>
  <c r="G51" i="36" l="1"/>
  <c r="G54" i="36"/>
  <c r="AC49" i="39"/>
  <c r="AC51" i="39" s="1"/>
  <c r="AC46" i="39"/>
  <c r="AC48" i="39" s="1"/>
  <c r="F50" i="41"/>
  <c r="F48" i="41"/>
  <c r="G50" i="41"/>
  <c r="L44" i="39"/>
  <c r="L46" i="39"/>
  <c r="N44" i="41"/>
  <c r="N46" i="41"/>
  <c r="N47" i="41" s="1"/>
  <c r="AA49" i="39"/>
  <c r="AA46" i="39"/>
  <c r="AA48" i="39" s="1"/>
  <c r="K50" i="41"/>
  <c r="G12" i="52"/>
  <c r="G13" i="52" s="1"/>
  <c r="C12" i="52"/>
  <c r="C13" i="52" s="1"/>
  <c r="E12" i="52"/>
  <c r="E13" i="52" s="1"/>
  <c r="F12" i="52"/>
  <c r="F13" i="52" s="1"/>
  <c r="F19" i="50"/>
  <c r="F22" i="50" s="1"/>
  <c r="F23" i="50" s="1"/>
  <c r="F24" i="50" s="1"/>
  <c r="D59" i="49"/>
  <c r="D65" i="49"/>
  <c r="D66" i="49" s="1"/>
  <c r="B11" i="50"/>
  <c r="D12" i="50" s="1"/>
  <c r="D13" i="50" s="1"/>
  <c r="B19" i="50"/>
  <c r="G47" i="49"/>
  <c r="G48" i="49" s="1"/>
  <c r="G49" i="49" s="1"/>
  <c r="G50" i="49" s="1"/>
  <c r="G64" i="49"/>
  <c r="C11" i="50"/>
  <c r="H12" i="50" s="1"/>
  <c r="H13" i="50" s="1"/>
  <c r="C19" i="50"/>
  <c r="F57" i="49"/>
  <c r="E58" i="49"/>
  <c r="G51" i="41"/>
  <c r="AD46" i="39"/>
  <c r="AD48" i="39" s="1"/>
  <c r="AD49" i="39"/>
  <c r="AD51" i="39" s="1"/>
  <c r="P47" i="41"/>
  <c r="R48" i="41"/>
  <c r="R46" i="39"/>
  <c r="R48" i="39" s="1"/>
  <c r="R44" i="39"/>
  <c r="Q44" i="41"/>
  <c r="Q46" i="41"/>
  <c r="S48" i="41" s="1"/>
  <c r="AE46" i="39"/>
  <c r="AE49" i="39"/>
  <c r="Z46" i="39"/>
  <c r="Z48" i="39" s="1"/>
  <c r="Z49" i="39"/>
  <c r="L46" i="41"/>
  <c r="L44" i="41"/>
  <c r="J46" i="41"/>
  <c r="J49" i="41"/>
  <c r="N47" i="39"/>
  <c r="N48" i="39"/>
  <c r="G48" i="41"/>
  <c r="G46" i="39"/>
  <c r="G49" i="39"/>
  <c r="I51" i="39"/>
  <c r="Y49" i="41"/>
  <c r="I60" i="49"/>
  <c r="I61" i="49" s="1"/>
  <c r="I58" i="49"/>
  <c r="F58" i="49"/>
  <c r="H58" i="49"/>
  <c r="K52" i="36"/>
  <c r="N52" i="36"/>
  <c r="H52" i="36"/>
  <c r="L52" i="36"/>
  <c r="G52" i="36"/>
  <c r="M52" i="36"/>
  <c r="J52" i="36"/>
  <c r="I52" i="36"/>
  <c r="J53" i="36"/>
  <c r="H53" i="36"/>
  <c r="I53" i="36"/>
  <c r="K53" i="36"/>
  <c r="N53" i="36"/>
  <c r="U43" i="39"/>
  <c r="U44" i="39" s="1"/>
  <c r="U42" i="39"/>
  <c r="M48" i="41"/>
  <c r="J50" i="39"/>
  <c r="I50" i="39"/>
  <c r="K50" i="39"/>
  <c r="J51" i="39"/>
  <c r="T49" i="39"/>
  <c r="T46" i="39"/>
  <c r="AB46" i="41"/>
  <c r="AB48" i="41" s="1"/>
  <c r="AB49" i="41"/>
  <c r="P48" i="39"/>
  <c r="O48" i="41"/>
  <c r="Q48" i="41"/>
  <c r="O47" i="39"/>
  <c r="N55" i="36"/>
  <c r="H55" i="36"/>
  <c r="I55" i="36"/>
  <c r="J55" i="36"/>
  <c r="G55" i="36"/>
  <c r="M55" i="36"/>
  <c r="K55" i="36"/>
  <c r="L55" i="36"/>
  <c r="J56" i="36"/>
  <c r="N56" i="36"/>
  <c r="I56" i="36"/>
  <c r="H56" i="36"/>
  <c r="K56" i="36"/>
  <c r="F51" i="36"/>
  <c r="F53" i="36" s="1"/>
  <c r="F54" i="36"/>
  <c r="F56" i="36" s="1"/>
  <c r="U42" i="41"/>
  <c r="U43" i="41"/>
  <c r="U44" i="41" s="1"/>
  <c r="R47" i="41"/>
  <c r="K51" i="39"/>
  <c r="T49" i="41"/>
  <c r="Z51" i="41" s="1"/>
  <c r="T46" i="41"/>
  <c r="AF48" i="41" s="1"/>
  <c r="K48" i="39"/>
  <c r="M48" i="39"/>
  <c r="G56" i="36"/>
  <c r="O47" i="41"/>
  <c r="V48" i="39"/>
  <c r="G53" i="36"/>
  <c r="F48" i="39"/>
  <c r="F50" i="39"/>
  <c r="L56" i="36"/>
  <c r="Q48" i="39"/>
  <c r="M53" i="36"/>
  <c r="V51" i="39"/>
  <c r="J47" i="39"/>
  <c r="I47" i="39"/>
  <c r="K47" i="39"/>
  <c r="J48" i="39"/>
  <c r="I48" i="39"/>
  <c r="Q47" i="41" l="1"/>
  <c r="P48" i="41"/>
  <c r="L47" i="39"/>
  <c r="L48" i="39"/>
  <c r="G12" i="50"/>
  <c r="G13" i="50" s="1"/>
  <c r="C12" i="50"/>
  <c r="C13" i="50" s="1"/>
  <c r="F12" i="50"/>
  <c r="F13" i="50" s="1"/>
  <c r="G59" i="49"/>
  <c r="G65" i="49"/>
  <c r="G66" i="49" s="1"/>
  <c r="E12" i="50"/>
  <c r="E13" i="50" s="1"/>
  <c r="G47" i="39"/>
  <c r="G48" i="39"/>
  <c r="L48" i="41"/>
  <c r="N48" i="41"/>
  <c r="J58" i="36"/>
  <c r="R47" i="39"/>
  <c r="J50" i="41"/>
  <c r="J51" i="41"/>
  <c r="J48" i="41"/>
  <c r="J47" i="41"/>
  <c r="L47" i="41"/>
  <c r="G50" i="39"/>
  <c r="G51" i="39"/>
  <c r="AE47" i="39"/>
  <c r="AC47" i="39"/>
  <c r="W47" i="39"/>
  <c r="Z47" i="39"/>
  <c r="AA47" i="39"/>
  <c r="AB47" i="39"/>
  <c r="V47" i="39"/>
  <c r="Y47" i="39"/>
  <c r="AD47" i="39"/>
  <c r="X47" i="39"/>
  <c r="AE48" i="39"/>
  <c r="X48" i="39"/>
  <c r="AB50" i="39"/>
  <c r="V50" i="39"/>
  <c r="Z50" i="39"/>
  <c r="W50" i="39"/>
  <c r="AC50" i="39"/>
  <c r="AA50" i="39"/>
  <c r="AE50" i="39"/>
  <c r="Y50" i="39"/>
  <c r="X50" i="39"/>
  <c r="AD50" i="39"/>
  <c r="Z51" i="39"/>
  <c r="W51" i="39"/>
  <c r="AA51" i="39"/>
  <c r="AE51" i="39"/>
  <c r="X51" i="39"/>
  <c r="F52" i="36"/>
  <c r="F55" i="36"/>
  <c r="AB47" i="41"/>
  <c r="AF47" i="41"/>
  <c r="V47" i="41"/>
  <c r="AC47" i="41"/>
  <c r="Z47" i="41"/>
  <c r="Y47" i="41"/>
  <c r="AA47" i="41"/>
  <c r="AE47" i="41"/>
  <c r="AD47" i="41"/>
  <c r="W47" i="41"/>
  <c r="X48" i="41"/>
  <c r="X47" i="41" s="1"/>
  <c r="Y48" i="41"/>
  <c r="V48" i="41"/>
  <c r="V50" i="41"/>
  <c r="Y50" i="41"/>
  <c r="Z50" i="41"/>
  <c r="AE50" i="41"/>
  <c r="W50" i="41"/>
  <c r="AD50" i="41"/>
  <c r="AA50" i="41"/>
  <c r="AB50" i="41"/>
  <c r="AF50" i="41"/>
  <c r="AC50" i="41"/>
  <c r="W51" i="41"/>
  <c r="AA51" i="41"/>
  <c r="V51" i="41"/>
  <c r="Y51" i="41"/>
  <c r="AB51" i="41"/>
  <c r="Y51" i="39"/>
  <c r="U46" i="41"/>
  <c r="U48" i="41" s="1"/>
  <c r="U49" i="41"/>
  <c r="U51" i="41" s="1"/>
  <c r="AF51" i="41"/>
  <c r="U46" i="39"/>
  <c r="U48" i="39" s="1"/>
  <c r="U49" i="39"/>
  <c r="U51" i="39" s="1"/>
  <c r="U50" i="41" l="1"/>
  <c r="U47" i="41"/>
  <c r="U50" i="39"/>
  <c r="U47" i="39"/>
</calcChain>
</file>

<file path=xl/sharedStrings.xml><?xml version="1.0" encoding="utf-8"?>
<sst xmlns="http://schemas.openxmlformats.org/spreadsheetml/2006/main" count="3612" uniqueCount="752">
  <si>
    <t>TPA:</t>
  </si>
  <si>
    <t>PPO:</t>
  </si>
  <si>
    <t>SPECIFIC STOP LOSS:</t>
  </si>
  <si>
    <t>SPECIFIC CONTRACT :</t>
  </si>
  <si>
    <t>AGGREGATE CONTRACT:</t>
  </si>
  <si>
    <t>MONTHLY TOTAL</t>
  </si>
  <si>
    <t>ANNUAL TOTAL</t>
  </si>
  <si>
    <t>AGGREGATE PREMIUM (Per Employee):</t>
  </si>
  <si>
    <t>AGGREGATE STOP LOSS FACTOR:</t>
  </si>
  <si>
    <t xml:space="preserve">     Employee</t>
  </si>
  <si>
    <t xml:space="preserve">     Additional for Family</t>
  </si>
  <si>
    <t xml:space="preserve">     Monthly Aggregate Accumulation</t>
  </si>
  <si>
    <t xml:space="preserve">     Annual Aggregate Accumulation</t>
  </si>
  <si>
    <t>FIXED MONTHLY TOTAL</t>
  </si>
  <si>
    <t>FIXED ANNUAL TOTAL</t>
  </si>
  <si>
    <t>TOTAL</t>
  </si>
  <si>
    <t>CALCULATIONS BASED ON:</t>
  </si>
  <si>
    <t>COBRA</t>
  </si>
  <si>
    <t>HIPAA</t>
  </si>
  <si>
    <t xml:space="preserve"> </t>
  </si>
  <si>
    <t>Plan Type</t>
  </si>
  <si>
    <t>Maximum Benefit</t>
  </si>
  <si>
    <t>Coinsurance</t>
  </si>
  <si>
    <t>PCP Office Visit Co-pay</t>
  </si>
  <si>
    <t>Specialist Office Visist Co-pay</t>
  </si>
  <si>
    <t xml:space="preserve">     At Facility</t>
  </si>
  <si>
    <t>Prescription Drugs:</t>
  </si>
  <si>
    <t xml:space="preserve">   Mail order</t>
  </si>
  <si>
    <t>Preventive Health Care</t>
  </si>
  <si>
    <t>Network</t>
  </si>
  <si>
    <t>In Network</t>
  </si>
  <si>
    <t>Out of Network</t>
  </si>
  <si>
    <t>80% after ded.</t>
  </si>
  <si>
    <t>2X</t>
  </si>
  <si>
    <t>n/a</t>
  </si>
  <si>
    <t xml:space="preserve">   Generic (Tier 1)</t>
  </si>
  <si>
    <t xml:space="preserve">   Name brand (Tier 2)</t>
  </si>
  <si>
    <t xml:space="preserve">   Non-formulary (Tier 3)</t>
  </si>
  <si>
    <t>Outpatient Sugery</t>
  </si>
  <si>
    <t>Mental Health Services</t>
  </si>
  <si>
    <t>None</t>
  </si>
  <si>
    <t>included</t>
  </si>
  <si>
    <t>Disease Management</t>
  </si>
  <si>
    <t>12/12 (M, Rx)</t>
  </si>
  <si>
    <t xml:space="preserve">Individual Deductible  </t>
  </si>
  <si>
    <t xml:space="preserve">Family Deductible         </t>
  </si>
  <si>
    <t xml:space="preserve">Ind. Coinsurance Limit (Not including ded.) </t>
  </si>
  <si>
    <t>Family Coinsurance Limit</t>
  </si>
  <si>
    <t>$50</t>
  </si>
  <si>
    <t>UHC</t>
  </si>
  <si>
    <t>Urgent Care Copay</t>
  </si>
  <si>
    <t>Inpatient Hospital Stay</t>
  </si>
  <si>
    <t>Physician Fees for Surgery and Medical Services</t>
  </si>
  <si>
    <t>Emergency Room</t>
  </si>
  <si>
    <t>MRI / CT Scan / PET Scan / Stress Tests</t>
  </si>
  <si>
    <t>Emergency Ambulance Services</t>
  </si>
  <si>
    <t>Prosthetic Devices</t>
  </si>
  <si>
    <t>Home Health Care</t>
  </si>
  <si>
    <t>Skilled Nursing Facility</t>
  </si>
  <si>
    <t>Durable Medical Equipment</t>
  </si>
  <si>
    <t>Outpatient Rehabilitative Services</t>
  </si>
  <si>
    <t>Physician and Provider Services - Office Visits</t>
  </si>
  <si>
    <t>Hospital Services</t>
  </si>
  <si>
    <t>Medical Supplies</t>
  </si>
  <si>
    <t>Mental Health and Chemical Dependency</t>
  </si>
  <si>
    <t xml:space="preserve">   Inpatient - SMI</t>
  </si>
  <si>
    <t xml:space="preserve">   Outpatient - SMI</t>
  </si>
  <si>
    <t>Chemical Dependency</t>
  </si>
  <si>
    <t xml:space="preserve">   Inpatient </t>
  </si>
  <si>
    <t xml:space="preserve">   Outpatient </t>
  </si>
  <si>
    <t>Assisted Care</t>
  </si>
  <si>
    <t>Chiropractic Services</t>
  </si>
  <si>
    <t>Medical / Rx Administration</t>
  </si>
  <si>
    <t>PBM</t>
  </si>
  <si>
    <t>Aetna</t>
  </si>
  <si>
    <t>Note: This is a brief summary and not intended to be a contract. Any discrepancy betweent the contract and the content herein, the contract rules.</t>
  </si>
  <si>
    <t>TML</t>
  </si>
  <si>
    <t>Unlimited</t>
  </si>
  <si>
    <t>Kanawha</t>
  </si>
  <si>
    <t>Sun Life</t>
  </si>
  <si>
    <t>SPECIFC MAXIMUM:</t>
  </si>
  <si>
    <t>AGGREGATE MAXIMUM:</t>
  </si>
  <si>
    <t>Updated Claims Req.</t>
  </si>
  <si>
    <t>Utilization Review / Case Management</t>
  </si>
  <si>
    <t>Fiduciary Responsibility</t>
  </si>
  <si>
    <t>UHC Options</t>
  </si>
  <si>
    <t>STOP LOSS CARRIER:</t>
  </si>
  <si>
    <t>BCBS</t>
  </si>
  <si>
    <t>CPOS II</t>
  </si>
  <si>
    <t>CIGNA</t>
  </si>
  <si>
    <t>HMO</t>
  </si>
  <si>
    <t>Cigna</t>
  </si>
  <si>
    <t>Munich Re</t>
  </si>
  <si>
    <t xml:space="preserve">Westport </t>
  </si>
  <si>
    <t>American United</t>
  </si>
  <si>
    <t>Ace American</t>
  </si>
  <si>
    <t>In Network Only</t>
  </si>
  <si>
    <t>MAXIMUM MONTHLY FUNDING SUBTOTAL</t>
  </si>
  <si>
    <t>MAXIMUM ANNUAL FUNDING SUBTOTAL</t>
  </si>
  <si>
    <t>24/12 (M, Rx)</t>
  </si>
  <si>
    <t>% Change from Current Expected</t>
  </si>
  <si>
    <t>$ Change from Current Expected</t>
  </si>
  <si>
    <t>% Change from Current Maximum</t>
  </si>
  <si>
    <t>COMBINED SPECIFIC AND AGG  PREMIUM:    Employee</t>
  </si>
  <si>
    <t>10 - 11 Budget</t>
  </si>
  <si>
    <t>11 - 11 Budget</t>
  </si>
  <si>
    <t>CPOSII</t>
  </si>
  <si>
    <t>Total</t>
  </si>
  <si>
    <t>Finalist</t>
  </si>
  <si>
    <t>Symmetra</t>
  </si>
  <si>
    <t>No Cost Share</t>
  </si>
  <si>
    <t xml:space="preserve">Lab and X-ray </t>
  </si>
  <si>
    <t>90%</t>
  </si>
  <si>
    <t>Open Access</t>
  </si>
  <si>
    <t>Stop Loss Breakeven Point</t>
  </si>
  <si>
    <t>KC / OAP</t>
  </si>
  <si>
    <t>=</t>
  </si>
  <si>
    <t xml:space="preserve">     IPS Budget Projection</t>
  </si>
  <si>
    <t xml:space="preserve">                                                                               Dependents</t>
  </si>
  <si>
    <t>$ Change from Current Maximum</t>
  </si>
  <si>
    <t>Cigna - Renewal</t>
  </si>
  <si>
    <t>Cigna - Current</t>
  </si>
  <si>
    <t>HSA</t>
  </si>
  <si>
    <t>HSA PLAN</t>
  </si>
  <si>
    <t>60% after ded.</t>
  </si>
  <si>
    <t>$15 after ded.</t>
  </si>
  <si>
    <t>$35 after ded.</t>
  </si>
  <si>
    <t>$50 after ded.</t>
  </si>
  <si>
    <t>$16.87 HSA &amp; Basic/$12.89 Kelsey</t>
  </si>
  <si>
    <t>HSA Fee</t>
  </si>
  <si>
    <t>United Healthcare</t>
  </si>
  <si>
    <t>Choice Plus</t>
  </si>
  <si>
    <t>$25</t>
  </si>
  <si>
    <t>$75</t>
  </si>
  <si>
    <t>100%</t>
  </si>
  <si>
    <t>AETNA</t>
  </si>
  <si>
    <t>OAMC</t>
  </si>
  <si>
    <t>2 X</t>
  </si>
  <si>
    <t>Blue Choice</t>
  </si>
  <si>
    <t>Transamerican/SBS</t>
  </si>
  <si>
    <t>Gerber/SBS</t>
  </si>
  <si>
    <t>Highmark/Amwins</t>
  </si>
  <si>
    <t>Transamerica/Amwins</t>
  </si>
  <si>
    <t>OAP Network Access Fee</t>
  </si>
  <si>
    <t>KelseyCare Network Access Fee</t>
  </si>
  <si>
    <t>Cigna - Renegotiated</t>
  </si>
  <si>
    <t>Kelsey Care - 80%</t>
  </si>
  <si>
    <t>Kelsey Care - 90%</t>
  </si>
  <si>
    <t>Cigna - NEW PLANS                       OPTION 6</t>
  </si>
  <si>
    <t xml:space="preserve">     Expected Claims (Cigna Projection)</t>
  </si>
  <si>
    <t>Health Care Reform Fees (Reinsurance and PCORI Fees)</t>
  </si>
  <si>
    <t>MAXIMUM ANNUAL FUNDING</t>
  </si>
  <si>
    <t>EXPECTED ANNUAL FUNDING (Cigna Projection)</t>
  </si>
  <si>
    <t>ANNUAL STOP LOSS PREMIUM</t>
  </si>
  <si>
    <t>ANNUAL AGGREGATE STOP LOSS DEDUCTIBLE</t>
  </si>
  <si>
    <t>ADMINISTRATION COSTS</t>
  </si>
  <si>
    <t xml:space="preserve">HEALTH CARE REFORM FEES </t>
  </si>
  <si>
    <t>CIGNA ADMINISTRATION COSTS</t>
  </si>
  <si>
    <t>Best Alternative Transamerica</t>
  </si>
  <si>
    <t>Recommended                                        Cigna  Plan Option 6</t>
  </si>
  <si>
    <t>SPECIFIC STOP LOSS DEDUCTIBLE LEVEL:</t>
  </si>
  <si>
    <t>Munich Re/Stealth</t>
  </si>
  <si>
    <t>Symetra/Stealth</t>
  </si>
  <si>
    <t>Berkley/Stealth</t>
  </si>
  <si>
    <t>Pending Large Claim Review</t>
  </si>
  <si>
    <t>KC Choice / Choice Plus</t>
  </si>
  <si>
    <t>Wellness enhancements:</t>
  </si>
  <si>
    <t>Quit Power $$0.45 pepm</t>
  </si>
  <si>
    <t>QP with TeleCoach $1.68 pepm</t>
  </si>
  <si>
    <t>Simply Engaged $4.56 pepm</t>
  </si>
  <si>
    <t>Know your numbers $50 per part, min. 50</t>
  </si>
  <si>
    <t>Pending Large Claims Review</t>
  </si>
  <si>
    <t>Included</t>
  </si>
  <si>
    <t>BCBSTX</t>
  </si>
  <si>
    <t>Prime</t>
  </si>
  <si>
    <t>OptumRx</t>
  </si>
  <si>
    <t>MunichRe/Stealth</t>
  </si>
  <si>
    <t>Category</t>
  </si>
  <si>
    <t>Performance Commitment</t>
  </si>
  <si>
    <t>CARRIER PROPOSAL</t>
  </si>
  <si>
    <t>Claim Time-to-Process (TTP)</t>
  </si>
  <si>
    <t>Claim Quality</t>
  </si>
  <si>
    <t>Call Center</t>
  </si>
  <si>
    <t>Account Management</t>
  </si>
  <si>
    <t>Network Discount</t>
  </si>
  <si>
    <t>Claim Target</t>
  </si>
  <si>
    <t>Clinical Management</t>
  </si>
  <si>
    <t>Implementation</t>
  </si>
  <si>
    <t>DESCRIPTION</t>
  </si>
  <si>
    <t>(Company Name)</t>
  </si>
  <si>
    <t>Implementation / Transition</t>
  </si>
  <si>
    <t>Wellness</t>
  </si>
  <si>
    <t xml:space="preserve">Program Marketing </t>
  </si>
  <si>
    <t>Other</t>
  </si>
  <si>
    <t>List Capabilities and Al La Carte Costs for Each Listed Category</t>
  </si>
  <si>
    <t>Corporate Location</t>
  </si>
  <si>
    <t>Local Account Management?</t>
  </si>
  <si>
    <t>Program Consulting, Coordination and Management</t>
  </si>
  <si>
    <t>______ PEPM</t>
  </si>
  <si>
    <t>Health Risk Assessment</t>
  </si>
  <si>
    <t>Biometric Screenings</t>
  </si>
  <si>
    <t>$ Per Screening</t>
  </si>
  <si>
    <t>Program Marketing –including Flyers, Posters, Mail, E-mail</t>
  </si>
  <si>
    <t>Wellness Coaching – including unlimited telephonic and e-mail.</t>
  </si>
  <si>
    <t>Incentive Administration</t>
  </si>
  <si>
    <t>Reporting and Measurement – individual and aggregate</t>
  </si>
  <si>
    <t>Smoking Cessation Program</t>
  </si>
  <si>
    <t xml:space="preserve">Wellness Workshops </t>
  </si>
  <si>
    <t>______PEPM</t>
  </si>
  <si>
    <t>Member Website</t>
  </si>
  <si>
    <t>Reporting and Measurement</t>
  </si>
  <si>
    <t>Other Available Services (Please List)</t>
  </si>
  <si>
    <t>Claim Ready Date</t>
  </si>
  <si>
    <t>Time to Process, Dollar Accuracy, Procedural Acuracy</t>
  </si>
  <si>
    <t>Claim Time-to-Process</t>
  </si>
  <si>
    <t>Total at Risk</t>
  </si>
  <si>
    <t xml:space="preserve">Medical / Pharmacy </t>
  </si>
  <si>
    <t>BENEFITS</t>
  </si>
  <si>
    <t>Set-up Fee</t>
  </si>
  <si>
    <t>Plan Document/Amendment</t>
  </si>
  <si>
    <t>Enrollment Material</t>
  </si>
  <si>
    <t>Discrimination Testing</t>
  </si>
  <si>
    <t>View Account Balances</t>
  </si>
  <si>
    <t>Email Claim Submission</t>
  </si>
  <si>
    <t>On-line Enrollment</t>
  </si>
  <si>
    <t>24 Hour Internet &amp; Voice Response System</t>
  </si>
  <si>
    <t>Toll Free Number</t>
  </si>
  <si>
    <t>Direct Deposit</t>
  </si>
  <si>
    <t>Check Claim Status</t>
  </si>
  <si>
    <t>Communication Meetings</t>
  </si>
  <si>
    <t>On-line Employer Maintenance</t>
  </si>
  <si>
    <t>W-2 Report for Daycare</t>
  </si>
  <si>
    <t>Claims Processing Frequency</t>
  </si>
  <si>
    <t>Debit Card Provider</t>
  </si>
  <si>
    <t>Debit Card</t>
  </si>
  <si>
    <t>Limited Purpose FSA</t>
  </si>
  <si>
    <t>Premium Only Plan</t>
  </si>
  <si>
    <t>FSA Plan Rate pepm</t>
  </si>
  <si>
    <t>Monthly Administrative Fee or Monthly Minimum</t>
  </si>
  <si>
    <t>Performs 3 of 9 tests upon requests annually</t>
  </si>
  <si>
    <t>Not Applicable</t>
  </si>
  <si>
    <t>Daily</t>
  </si>
  <si>
    <t>First Data Corporation</t>
  </si>
  <si>
    <t>$500 Implementation Fee                                  Wire Transfer Fee $15.00 per wire transfer</t>
  </si>
  <si>
    <t>$5.55 pppm</t>
  </si>
  <si>
    <t>$150 per month</t>
  </si>
  <si>
    <t>$500 per occurrence</t>
  </si>
  <si>
    <t>Claims can be submitted mail, fax, or online. All reimbursement requests are entered into our electronic system. Must use UHC standard claim form.</t>
  </si>
  <si>
    <t>Employer can use benefit enrollment form. Customers complete eligibility and contribution files (electronic) and submit files to UHC</t>
  </si>
  <si>
    <t>Available</t>
  </si>
  <si>
    <t>94% processed within 10 busienss days and 98% in 20 business days</t>
  </si>
  <si>
    <t>Mastercard</t>
  </si>
  <si>
    <t>$0.50 ppem</t>
  </si>
  <si>
    <t>Available, but not included at this time</t>
  </si>
  <si>
    <t>Not Available</t>
  </si>
  <si>
    <t>$50.00 One-time</t>
  </si>
  <si>
    <t>Weekly</t>
  </si>
  <si>
    <t>Alegus</t>
  </si>
  <si>
    <t>$3.70 pppm</t>
  </si>
  <si>
    <t>$3.70 pppm Debit / $5.00 pppm Paper</t>
  </si>
  <si>
    <t>Discovery</t>
  </si>
  <si>
    <t>Available Electronically</t>
  </si>
  <si>
    <t>Standard Testing included (add'l at cost)</t>
  </si>
  <si>
    <t>Webinars at no cost. On site $350 per day plus Travel</t>
  </si>
  <si>
    <t>Evolution1</t>
  </si>
  <si>
    <t>$4.95 pppm</t>
  </si>
  <si>
    <t>Included with FSA Admin.                                       $450 Annual Standalone</t>
  </si>
  <si>
    <t>Flores</t>
  </si>
  <si>
    <t>Fax, mail, upload to secure portal or mobile app</t>
  </si>
  <si>
    <t>Web meetings are no charge</t>
  </si>
  <si>
    <t>No</t>
  </si>
  <si>
    <t>$5.00 pppm</t>
  </si>
  <si>
    <t>Min. monthly revenue of $100.00</t>
  </si>
  <si>
    <t>Fees</t>
  </si>
  <si>
    <t>Initial Debit Card</t>
  </si>
  <si>
    <t>Monthly Service Fee</t>
  </si>
  <si>
    <t>Paper Statement</t>
  </si>
  <si>
    <t>ATM Withdrawal</t>
  </si>
  <si>
    <t>Account Research/Statement Recon</t>
  </si>
  <si>
    <t>Overdraft Fee</t>
  </si>
  <si>
    <t>Stop Payment Fee</t>
  </si>
  <si>
    <t>Account Set Up</t>
  </si>
  <si>
    <t>Interest Rate</t>
  </si>
  <si>
    <t>Annual Percentage Yield</t>
  </si>
  <si>
    <t>HSA checks / Deposit Tickets</t>
  </si>
  <si>
    <t>Replacement of lost debit Card</t>
  </si>
  <si>
    <t>Copy of check, statement or tax documents</t>
  </si>
  <si>
    <t>Excess contribution distribution</t>
  </si>
  <si>
    <t>2 free cards</t>
  </si>
  <si>
    <t>Administration Fee</t>
  </si>
  <si>
    <t>Balance of $3,000 or less $1.75</t>
  </si>
  <si>
    <t>$3.00 pppm</t>
  </si>
  <si>
    <t>$0.75 (e-statement free)</t>
  </si>
  <si>
    <t>$2.00 (access online transfers free of charge)</t>
  </si>
  <si>
    <t>Varies</t>
  </si>
  <si>
    <t>$7.95 per 50 checkes</t>
  </si>
  <si>
    <t>$4.00 (for statements and tax documents, view and print online at no charge)</t>
  </si>
  <si>
    <t>Kelsey Care 90</t>
  </si>
  <si>
    <t>Kelsey Care 80</t>
  </si>
  <si>
    <t>$200 Copay</t>
  </si>
  <si>
    <t>$25 / $50</t>
  </si>
  <si>
    <t>80%</t>
  </si>
  <si>
    <t>Sterling</t>
  </si>
  <si>
    <t>$525 (100+ Healthcare, Dependent Care, Limited Purpose)</t>
  </si>
  <si>
    <t>Included / $50</t>
  </si>
  <si>
    <t>Electronic Included</t>
  </si>
  <si>
    <t>Included / Available from desktop or smart phone</t>
  </si>
  <si>
    <t>2-3 per week</t>
  </si>
  <si>
    <t>$50 monthly minimum</t>
  </si>
  <si>
    <t xml:space="preserve">N / A </t>
  </si>
  <si>
    <t>$15 online / $0 for rollover accounts</t>
  </si>
  <si>
    <t>Online available 24/7</t>
  </si>
  <si>
    <t>Account Termination Fee</t>
  </si>
  <si>
    <t>Set Up Fee</t>
  </si>
  <si>
    <t>Flores/HSA Bank</t>
  </si>
  <si>
    <t>Conexis</t>
  </si>
  <si>
    <t>$100.00 Minimum Monthly</t>
  </si>
  <si>
    <t>N/A</t>
  </si>
  <si>
    <t>Ded./80%</t>
  </si>
  <si>
    <t>ACO 80</t>
  </si>
  <si>
    <t>Arlington, TX</t>
  </si>
  <si>
    <t xml:space="preserve">Hartford, CT </t>
  </si>
  <si>
    <t>Part of $55,000 allowance and $6,000 years 2 and 3</t>
  </si>
  <si>
    <t>$57.50 per screening</t>
  </si>
  <si>
    <t>$2.20 PEPM for Health Lifestyle Coaching</t>
  </si>
  <si>
    <t>Healthy Lifestyly Coaching</t>
  </si>
  <si>
    <t>Simple Steps to a Healthier Lifestyle - Online                Healthy Lifestyle Coaching, Lite, Tobacco Free, Healthy Weight, Personal Health Record, Member Health Engagement Plan, Informed Health Line, Fitness Reimbursement Program, Minute Clinic, Metabolic Health Support, Mobile Technology, Discounts</t>
  </si>
  <si>
    <t>MEDICAL NETWORK - GEO</t>
  </si>
  <si>
    <t>GeoAccess (2 PCPs within 10 miles)</t>
  </si>
  <si>
    <t>GeoAccess (2 Specialists within 10 miles)</t>
  </si>
  <si>
    <t>GeoAccess (1 Hospital within 10 miles)</t>
  </si>
  <si>
    <t>Provider Record Match</t>
  </si>
  <si>
    <t xml:space="preserve">Claims Dollar Match </t>
  </si>
  <si>
    <t>PRESCRIPTION NETWORK</t>
  </si>
  <si>
    <t>GeoAccess (2 Pharmacies within 10 miles)</t>
  </si>
  <si>
    <t>PRESCRIPTION NETWORK DISRUPTON</t>
  </si>
  <si>
    <t>Claims Dollar Match</t>
  </si>
  <si>
    <t>Aetna Choice POS II (SI)</t>
  </si>
  <si>
    <t>Aetna Select (SI)</t>
  </si>
  <si>
    <t>Aetna OA Aetna Select (SI) - ACO Concentric (lives 101-3000)</t>
  </si>
  <si>
    <t>Aetna Pharmacy Management</t>
  </si>
  <si>
    <t>Blue Cross Blue Shield of Texas</t>
  </si>
  <si>
    <t>HSA PLAN (Choice POS II)</t>
  </si>
  <si>
    <t>$10 after Ded.</t>
  </si>
  <si>
    <t>$40 after Ded.</t>
  </si>
  <si>
    <t>$80 after Ded.</t>
  </si>
  <si>
    <t>2X after Ded.</t>
  </si>
  <si>
    <t>PPO</t>
  </si>
  <si>
    <t>70% after ded.</t>
  </si>
  <si>
    <t>$200 Copay/ 90%</t>
  </si>
  <si>
    <t>70% after copay</t>
  </si>
  <si>
    <t>70% after 2X copay</t>
  </si>
  <si>
    <t>Blue Choice 90%</t>
  </si>
  <si>
    <t>$200 Copay/ 80%</t>
  </si>
  <si>
    <t>60% after copay</t>
  </si>
  <si>
    <t>60% after 2X copay</t>
  </si>
  <si>
    <t>Minnetonka, MN</t>
  </si>
  <si>
    <t>Included PEPM</t>
  </si>
  <si>
    <t>$50 Per Screening (Included with Simply Engaged Buy Up of $4.56 PEPM)</t>
  </si>
  <si>
    <t>Included in PEPM</t>
  </si>
  <si>
    <t>$1.68 PEPM</t>
  </si>
  <si>
    <t>$4.56 PEPM (Included with Simply Engaged)</t>
  </si>
  <si>
    <t>$0.45 PEPM</t>
  </si>
  <si>
    <t xml:space="preserve"> Included in PEPM (included with Care 24)</t>
  </si>
  <si>
    <t>$20,000 Annual</t>
  </si>
  <si>
    <t>No specific allowance but can use implementation allowance</t>
  </si>
  <si>
    <t>GeoAccess (2 GPs within 10 miles)</t>
  </si>
  <si>
    <t>DENTAL NETWORK - GEO DPPO</t>
  </si>
  <si>
    <t>DENTAL NETWORK - GEO DHMO</t>
  </si>
  <si>
    <t>VISION NETWORK - GEO</t>
  </si>
  <si>
    <t>Stop Loss Best and Final</t>
  </si>
  <si>
    <t>ISL Run-In Limitation</t>
  </si>
  <si>
    <t>Lasers</t>
  </si>
  <si>
    <t>Pending</t>
  </si>
  <si>
    <t>Administration Guarantees</t>
  </si>
  <si>
    <t>3 Year Guarantee</t>
  </si>
  <si>
    <t>not stated</t>
  </si>
  <si>
    <t>Allowances / Credits</t>
  </si>
  <si>
    <t>Not Included</t>
  </si>
  <si>
    <t>Yes</t>
  </si>
  <si>
    <t>Notes / Caveats</t>
  </si>
  <si>
    <t>ASL Run-In Limitation</t>
  </si>
  <si>
    <t xml:space="preserve">No </t>
  </si>
  <si>
    <t>No - Pending Stop Loss Review</t>
  </si>
  <si>
    <t>Nurse Line</t>
  </si>
  <si>
    <t>not included</t>
  </si>
  <si>
    <t>Out fo Network / COB Savings</t>
  </si>
  <si>
    <t>Rx Rebates</t>
  </si>
  <si>
    <t>Rx Rebate Credit</t>
  </si>
  <si>
    <t>Optum Rx</t>
  </si>
  <si>
    <t>Start Up Costs</t>
  </si>
  <si>
    <t>Implementation Credit</t>
  </si>
  <si>
    <t xml:space="preserve">Administration Fee  </t>
  </si>
  <si>
    <t>Dispensing Fee</t>
  </si>
  <si>
    <t xml:space="preserve">     Retail</t>
  </si>
  <si>
    <t xml:space="preserve">     Mail Order</t>
  </si>
  <si>
    <t xml:space="preserve">     Retail 90 Program</t>
  </si>
  <si>
    <t>Average Drug Costs</t>
  </si>
  <si>
    <t xml:space="preserve">     Brand Retail</t>
  </si>
  <si>
    <t xml:space="preserve">     Brand Retail 90</t>
  </si>
  <si>
    <t xml:space="preserve">     Brand Mail</t>
  </si>
  <si>
    <t xml:space="preserve">     Generic Retail</t>
  </si>
  <si>
    <t xml:space="preserve">     Generic Retail 90</t>
  </si>
  <si>
    <t xml:space="preserve">     Generic Mail</t>
  </si>
  <si>
    <t>Claims Cost</t>
  </si>
  <si>
    <t xml:space="preserve">     Electric</t>
  </si>
  <si>
    <t xml:space="preserve">     Paper</t>
  </si>
  <si>
    <t>DUR/Cost</t>
  </si>
  <si>
    <t>Prior Authorizations</t>
  </si>
  <si>
    <t>Non-Clinical</t>
  </si>
  <si>
    <t>Clinical</t>
  </si>
  <si>
    <t>Formulary Rebates (Minimum)</t>
  </si>
  <si>
    <t xml:space="preserve">Per Retail </t>
  </si>
  <si>
    <t>Retail 90 Program</t>
  </si>
  <si>
    <t>NETWORK</t>
  </si>
  <si>
    <t>Geo Access Match (2 Providers in 10 mi.)</t>
  </si>
  <si>
    <t>Pharmacy Pricing Guarantees</t>
  </si>
  <si>
    <t>Pharmacy Performance Guarantees</t>
  </si>
  <si>
    <t>Carrier / TPA</t>
  </si>
  <si>
    <t>Pharmacy Benefit Manager</t>
  </si>
  <si>
    <t>Stop Loss Includes Retirees</t>
  </si>
  <si>
    <t>Undisclosed PEPM Credit Included in Amdin. Fee</t>
  </si>
  <si>
    <t>$11.06 PEPM Credit Included in Admin fee</t>
  </si>
  <si>
    <t>Carrier Retains 25% of Savings</t>
  </si>
  <si>
    <t>Disease Management is partial list which</t>
  </si>
  <si>
    <t>includes complex conditions.</t>
  </si>
  <si>
    <t>Performance Guarantees</t>
  </si>
  <si>
    <t>Medical and Pharmacy Offered</t>
  </si>
  <si>
    <t>Not Disclosed</t>
  </si>
  <si>
    <t>AWP - 17.0%</t>
  </si>
  <si>
    <t xml:space="preserve"> $8.76 Estimated  PEPM included in Admin Fee</t>
  </si>
  <si>
    <t xml:space="preserve">Pharmacy administration estimate is </t>
  </si>
  <si>
    <t>included in admin fee at $1.50 per claim</t>
  </si>
  <si>
    <t>or $2.94 PEPM based on 2014 - 2015</t>
  </si>
  <si>
    <t>script count.</t>
  </si>
  <si>
    <t>Carrier Retains 15% of Savings for Non-Network and 20% of Savings for COB</t>
  </si>
  <si>
    <t>0% Year 2 and 5% Year 3</t>
  </si>
  <si>
    <t>On-Line enrollment fee @ $1,500 plus</t>
  </si>
  <si>
    <t>$175 per hour programing</t>
  </si>
  <si>
    <t>Add Health Care Reform Fees (Reinsurance and PCORI Fees)</t>
  </si>
  <si>
    <t>Carrier Retains 29% of Savings</t>
  </si>
  <si>
    <t xml:space="preserve">ACO 90 </t>
  </si>
  <si>
    <t xml:space="preserve">EPO 90 </t>
  </si>
  <si>
    <t>EPO 80</t>
  </si>
  <si>
    <t>ACO</t>
  </si>
  <si>
    <t>EPO</t>
  </si>
  <si>
    <t>EPO\</t>
  </si>
  <si>
    <t>Blue Choice 80%</t>
  </si>
  <si>
    <t xml:space="preserve">     Expected Claims (Carrier Projection)</t>
  </si>
  <si>
    <t>Express Scripts</t>
  </si>
  <si>
    <t>Provider Match</t>
  </si>
  <si>
    <t>pending</t>
  </si>
  <si>
    <t>Alegeus Technologies</t>
  </si>
  <si>
    <t>CURRENT</t>
  </si>
  <si>
    <t>VISA</t>
  </si>
  <si>
    <t>Chase</t>
  </si>
  <si>
    <t>$10.65 for 25 checks</t>
  </si>
  <si>
    <t>No charge at Chase ATM</t>
  </si>
  <si>
    <t>No charge</t>
  </si>
  <si>
    <t>Varies based on balance</t>
  </si>
  <si>
    <t>$15 $0 with Rollover</t>
  </si>
  <si>
    <t>$2.50 pppm</t>
  </si>
  <si>
    <t>$5.94 pppm</t>
  </si>
  <si>
    <t>TML - Renewal</t>
  </si>
  <si>
    <t>Enrollment</t>
  </si>
  <si>
    <t>BERKLEY / STEALTH</t>
  </si>
  <si>
    <t>Agg = 125% Corridor</t>
  </si>
  <si>
    <t>EE</t>
  </si>
  <si>
    <t>Family</t>
  </si>
  <si>
    <t>PPO Network Access Fee</t>
  </si>
  <si>
    <t>Medical Administration</t>
  </si>
  <si>
    <t>Rx Administration</t>
  </si>
  <si>
    <t>Rebates</t>
  </si>
  <si>
    <t>Per Brand Retail</t>
  </si>
  <si>
    <t>Per Brand Mail</t>
  </si>
  <si>
    <t>ID Cards</t>
  </si>
  <si>
    <t>HRA Fee</t>
  </si>
  <si>
    <t xml:space="preserve">Cigna </t>
  </si>
  <si>
    <t>$25,000 Wellness (Annual)</t>
  </si>
  <si>
    <t>$10,000 Transition (One Time)</t>
  </si>
  <si>
    <t>2 Month Fee Holiday (One Time) - 50k Max</t>
  </si>
  <si>
    <t>Offer contingent on Medical, Pharmacy</t>
  </si>
  <si>
    <t>and Dental packaged with Cigna</t>
  </si>
  <si>
    <t>Add TML Run-Out Claims Processing Fees</t>
  </si>
  <si>
    <t>Telemedicine</t>
  </si>
  <si>
    <t xml:space="preserve">MEDICAL NETWORK DISRUPTION </t>
  </si>
  <si>
    <t>Meritain</t>
  </si>
  <si>
    <t xml:space="preserve">Choice POS II </t>
  </si>
  <si>
    <t>$500 SBC Preperation Fee</t>
  </si>
  <si>
    <t>$5,000 Wellness (Annual)</t>
  </si>
  <si>
    <t>$30,000 Transition (One Time)</t>
  </si>
  <si>
    <t>2 Month Fee Holiday (One Time) - 49k Max</t>
  </si>
  <si>
    <t>Teladoc for Telemedicine</t>
  </si>
  <si>
    <t>Fiduciuary Responsibility $2.25 PEPM</t>
  </si>
  <si>
    <t>ScriptWorld</t>
  </si>
  <si>
    <t>$10,000 Implementatiom (One Time)</t>
  </si>
  <si>
    <t>Carrier Retains 28% of Savings for Non-Network and 25% of Savings for COB</t>
  </si>
  <si>
    <t>Choice POS II</t>
  </si>
  <si>
    <t>Not Stated</t>
  </si>
  <si>
    <t>2 Year Guarantee with 2% Year 3</t>
  </si>
  <si>
    <t>Medical  Offered</t>
  </si>
  <si>
    <t>Medical Offered</t>
  </si>
  <si>
    <t>$15,000 Wellness (Annual)</t>
  </si>
  <si>
    <t>$15,000 Implementtion (One Time)</t>
  </si>
  <si>
    <t>$22.00 PEPM Credit Estimated</t>
  </si>
  <si>
    <t>?</t>
  </si>
  <si>
    <t>Carrier Retains 35% of Savings for Non-Network and 33.3% of Savings for COB</t>
  </si>
  <si>
    <t>Retiree Direct Billing - $4.50 PRPM</t>
  </si>
  <si>
    <t>Medical Offered  - Up to $44,000</t>
  </si>
  <si>
    <t>8.4% Year 2 and 5% Year 3</t>
  </si>
  <si>
    <t xml:space="preserve">Admin Fee quoted on an immature basis </t>
  </si>
  <si>
    <t>$5,000 Stop Loss Integration Fee</t>
  </si>
  <si>
    <t>Repricing</t>
  </si>
  <si>
    <t>AWP - 78.09%</t>
  </si>
  <si>
    <t>AWP - 15.44%</t>
  </si>
  <si>
    <t>AWP - 79.53%</t>
  </si>
  <si>
    <t>AWP - 19.55%</t>
  </si>
  <si>
    <t>Pass Through</t>
  </si>
  <si>
    <t xml:space="preserve">Pass Through </t>
  </si>
  <si>
    <t xml:space="preserve">% Change from Current </t>
  </si>
  <si>
    <t xml:space="preserve">$ Change from Current </t>
  </si>
  <si>
    <t>NETWORK DISCOUNT GUARANTEE</t>
  </si>
  <si>
    <t>Guaranteed Discount</t>
  </si>
  <si>
    <t>Excess Loss Reporting</t>
  </si>
  <si>
    <t>or $4.01 PEPM based on last 12 mo.</t>
  </si>
  <si>
    <t>TML Run Out Fee Estimated ($13.25 Per Claim)</t>
  </si>
  <si>
    <t>Less Rebate Credits (Annual)</t>
  </si>
  <si>
    <t>Carrier Retains 29% of Savings -</t>
  </si>
  <si>
    <t>Out of Network Negotiations</t>
  </si>
  <si>
    <t>IPS Requesting PEPM OON</t>
  </si>
  <si>
    <t>Negotiation Fee.</t>
  </si>
  <si>
    <t>The Health Plan</t>
  </si>
  <si>
    <t>Scott and White</t>
  </si>
  <si>
    <t>S&amp;W and PHCS</t>
  </si>
  <si>
    <t>S&amp;W</t>
  </si>
  <si>
    <t>91.7% - 2 PCP in 10 Miles</t>
  </si>
  <si>
    <t>91.7% - 2 SP in 10 Miles</t>
  </si>
  <si>
    <t>Not Provided</t>
  </si>
  <si>
    <t>Not Provided (Avg. 50%)</t>
  </si>
  <si>
    <t>Geo Access Notes:</t>
  </si>
  <si>
    <t>Not Proposed</t>
  </si>
  <si>
    <t>HealthSmart</t>
  </si>
  <si>
    <t>Aetna Signature</t>
  </si>
  <si>
    <t>Health Smart</t>
  </si>
  <si>
    <t>Provider Re-Pricing Before Rebates</t>
  </si>
  <si>
    <t>Average Drug Ingredient Cost - Repricing</t>
  </si>
  <si>
    <t>$19.72 PEPM Administration Credit</t>
  </si>
  <si>
    <t>$ Change</t>
  </si>
  <si>
    <t>% Change</t>
  </si>
  <si>
    <t>*Repricing are estimates are based on proposed contracts and are not a guarantee of future results.  Repricing is based on the last 12 months of data and does not take into account change in utilization and rebates due to migration from differences in formularies.</t>
  </si>
  <si>
    <t>Annual Fees</t>
  </si>
  <si>
    <t>Less Rebates</t>
  </si>
  <si>
    <t>Total Cost</t>
  </si>
  <si>
    <t>$ Change from TML</t>
  </si>
  <si>
    <t>% Change from TML</t>
  </si>
  <si>
    <t>Run Out Processing Fees</t>
  </si>
  <si>
    <t>Administration and Implementation Credits</t>
  </si>
  <si>
    <t>Proposed Cost With Run Out Fees and Credits</t>
  </si>
  <si>
    <t>In-Network Claims Repricing*</t>
  </si>
  <si>
    <t>Pharmacy Claims Repricing*</t>
  </si>
  <si>
    <t>Administrative Credit</t>
  </si>
  <si>
    <t>Net Fees Including Run-Out Processing, Rebates and Credits</t>
  </si>
  <si>
    <t>Admin Fees</t>
  </si>
  <si>
    <t>NOTES:</t>
  </si>
  <si>
    <t>Recommended Finalist</t>
  </si>
  <si>
    <t>Paid Quarterly 3 - 6 Month Lag</t>
  </si>
  <si>
    <t>Less Admin and Implementation Credits (One-time)</t>
  </si>
  <si>
    <t>Annual First Year Net Fixed Cost</t>
  </si>
  <si>
    <t>HRA / HSA Fee</t>
  </si>
  <si>
    <t>HRA Local Plus</t>
  </si>
  <si>
    <t>HAS OAP</t>
  </si>
  <si>
    <t>Catastrophic</t>
  </si>
  <si>
    <t>AGGREGAT CORRIDOR</t>
  </si>
  <si>
    <t>Paid (M, V, Rx)</t>
  </si>
  <si>
    <t>Claims and Eligibility Feeds</t>
  </si>
  <si>
    <t>No Additional Cost</t>
  </si>
  <si>
    <t>Wellness Program Coordinator</t>
  </si>
  <si>
    <t>$20,000 Wellness Credit</t>
  </si>
  <si>
    <t xml:space="preserve"> UHC</t>
  </si>
  <si>
    <t>AWP - 18.7%</t>
  </si>
  <si>
    <t>AWP - 20.8%</t>
  </si>
  <si>
    <t>AWP - 75.3%</t>
  </si>
  <si>
    <t>AWP - 76.7%</t>
  </si>
  <si>
    <t>$26.03 PEPM Administration Credit</t>
  </si>
  <si>
    <t>Plan A</t>
  </si>
  <si>
    <t>Plan B</t>
  </si>
  <si>
    <t xml:space="preserve">HSA </t>
  </si>
  <si>
    <t>Nurse Line not Included - Condition Specific DM Not Included</t>
  </si>
  <si>
    <t>Max Fees at Risk</t>
  </si>
  <si>
    <t>Claims, CS and Network Discount</t>
  </si>
  <si>
    <t>ACO Option Not Available - Offering Simply Accountable Cost Guarantees at -5.15% of Projected Claims with 40k at risk</t>
  </si>
  <si>
    <t>Specialty Drug Cost</t>
  </si>
  <si>
    <t>Drug By Drug</t>
  </si>
  <si>
    <t>Stop Loss Includes Experience Refund Endorsement Program (ISL)</t>
  </si>
  <si>
    <t xml:space="preserve"> CLAIMS REPRICING ANALYSIS*</t>
  </si>
  <si>
    <t>Repriced Total Cost = 17,244 Drugs</t>
  </si>
  <si>
    <t>Excess Loss/ External Reporting</t>
  </si>
  <si>
    <t>UHC Terminal Run Out Fees</t>
  </si>
  <si>
    <t>Continental</t>
  </si>
  <si>
    <t>Re-priced Discount (or Target)</t>
  </si>
  <si>
    <t>WellDyne Rx</t>
  </si>
  <si>
    <t>AWP - 16.0%</t>
  </si>
  <si>
    <t>AWP - 24.0%</t>
  </si>
  <si>
    <t>AWP - 76.5%</t>
  </si>
  <si>
    <t>AWP - 79.0%</t>
  </si>
  <si>
    <t>$2.50 Per Claim</t>
  </si>
  <si>
    <t>3% Rate Cap Per Year</t>
  </si>
  <si>
    <t>Administration Credit</t>
  </si>
  <si>
    <t>$10,000 Wellness Credit</t>
  </si>
  <si>
    <t>Other Fees include Plan Doc, SBC, Banking Fees, ID Cards.</t>
  </si>
  <si>
    <t>4 Year Guarantee with with 5% in Year 3</t>
  </si>
  <si>
    <t>WellDyne</t>
  </si>
  <si>
    <t>AWP - 78.65%</t>
  </si>
  <si>
    <t>AWP - 81.5%</t>
  </si>
  <si>
    <t>Per Retail 90</t>
  </si>
  <si>
    <t>Per Retail Mail</t>
  </si>
  <si>
    <t>Estimated Rebate Value PEPM</t>
  </si>
  <si>
    <t>AWP - 10.5%</t>
  </si>
  <si>
    <t>Pharmacy Repricing is 245k higher than UHC Renewal Offer.</t>
  </si>
  <si>
    <t>$5,000 Transition Credit</t>
  </si>
  <si>
    <t>AWP - 78.0%</t>
  </si>
  <si>
    <t>AWP - 80.0%</t>
  </si>
  <si>
    <t>AWP - 84.0%</t>
  </si>
  <si>
    <t>AWP - 20.0%</t>
  </si>
  <si>
    <t>AWP - 24.5%</t>
  </si>
  <si>
    <t>$4,600 Charged if Outside Stop Loss is Utilized</t>
  </si>
  <si>
    <t>3 year Guarantee with 4% in year four and 4% in year five</t>
  </si>
  <si>
    <t>Not included in Admin fees above.  Cost is $3.50 PEPM Charge = $26,922 Annual</t>
  </si>
  <si>
    <t>Drug by Drug</t>
  </si>
  <si>
    <t>24/12 (M, V, Rx)</t>
  </si>
  <si>
    <t>none</t>
  </si>
  <si>
    <t>Formulary Disruption</t>
  </si>
  <si>
    <t>Members</t>
  </si>
  <si>
    <t>Scripts</t>
  </si>
  <si>
    <t>Formulary Disruption (Negative Scripts / Members)</t>
  </si>
  <si>
    <t>6.5% / 15.6%</t>
  </si>
  <si>
    <t>Stealth / Berkshire Hathaway</t>
  </si>
  <si>
    <t>$23.94 PEPM Administration Credit</t>
  </si>
  <si>
    <t>OAP</t>
  </si>
  <si>
    <t>Yes, Paid Quarterly                            3 - 6 Month Lag</t>
  </si>
  <si>
    <t xml:space="preserve">STOP LOSS </t>
  </si>
  <si>
    <t>THIRD PARTY ADMINISTRATION</t>
  </si>
  <si>
    <t xml:space="preserve">MAXIMUM MONTHLY FUNDING </t>
  </si>
  <si>
    <t xml:space="preserve">MAXIMUM ANNUAL FUNDING </t>
  </si>
  <si>
    <t xml:space="preserve">FIXED MONTHLY TOTAL </t>
  </si>
  <si>
    <t>Not included in Admin fees above.  Cost is $2.73 PEPM Charge = $20,966 Annual</t>
  </si>
  <si>
    <t>8.7% Increase Year 2  * 5% Increase  Year 3</t>
  </si>
  <si>
    <t>SA Ben. / American Fidelity</t>
  </si>
  <si>
    <t>Benecard</t>
  </si>
  <si>
    <t>AWP - 77.25%</t>
  </si>
  <si>
    <t>AWP - 14.0%</t>
  </si>
  <si>
    <t>$1.50 Per Claim</t>
  </si>
  <si>
    <t>Incomplete</t>
  </si>
  <si>
    <t>THR PBM</t>
  </si>
  <si>
    <t>THR</t>
  </si>
  <si>
    <t>AWP - 16.1%</t>
  </si>
  <si>
    <t>AWP - 82.0%</t>
  </si>
  <si>
    <t>AWP - 22.0%</t>
  </si>
  <si>
    <t>Serve You</t>
  </si>
  <si>
    <t>AWP - 19.5%</t>
  </si>
  <si>
    <t>AWP - 23.0%</t>
  </si>
  <si>
    <t>AWP - 15.0%</t>
  </si>
  <si>
    <t xml:space="preserve">Additional UM Fees Apply - Requested PEPM </t>
  </si>
  <si>
    <t>Recommended Finalist:</t>
  </si>
  <si>
    <t>Pending Best and Final</t>
  </si>
  <si>
    <t>No - Pending Review</t>
  </si>
  <si>
    <t>Annual Administration Fees</t>
  </si>
  <si>
    <t>Stop Loss Fees</t>
  </si>
  <si>
    <t>Rx Rebate Credit / Net Cost Projection</t>
  </si>
  <si>
    <t>Other Considerations (Converted to PEPM)</t>
  </si>
  <si>
    <t xml:space="preserve">Provider Record Match </t>
  </si>
  <si>
    <t>Not Offered</t>
  </si>
  <si>
    <t>In-Network Discount</t>
  </si>
  <si>
    <t>*Choice Plus</t>
  </si>
  <si>
    <t>$50,000 Wellness</t>
  </si>
  <si>
    <t>$25,000 Implementation</t>
  </si>
  <si>
    <t xml:space="preserve">TPA FEES - MONTHLY TOTAL </t>
  </si>
  <si>
    <t>TPA FEES - ANNUAL TOTAL</t>
  </si>
  <si>
    <t>UHC Estimated Terminal Run Out Fees</t>
  </si>
  <si>
    <t>Estimated Shared Savings</t>
  </si>
  <si>
    <t xml:space="preserve">29% of Savings up to $50,000 per Claim </t>
  </si>
  <si>
    <t>$ Change from Current</t>
  </si>
  <si>
    <t>% Change from Current</t>
  </si>
  <si>
    <t>29% of Savings up to                       $50,000 per Claim - Shared Savings Fees Collected through March =</t>
  </si>
  <si>
    <t>Note: Pharmacy, shared Savings</t>
  </si>
  <si>
    <t xml:space="preserve">and network differentials </t>
  </si>
  <si>
    <t>eliminate savings potential</t>
  </si>
  <si>
    <t xml:space="preserve">Total </t>
  </si>
  <si>
    <t xml:space="preserve">Savings Estimate from Current UHC </t>
  </si>
  <si>
    <t>Total Dollar Savings from Current</t>
  </si>
  <si>
    <t>Current</t>
  </si>
  <si>
    <t>Option 1</t>
  </si>
  <si>
    <t>Option 3</t>
  </si>
  <si>
    <t>Option 4</t>
  </si>
  <si>
    <t>Option 5</t>
  </si>
  <si>
    <t>Network Eligible</t>
  </si>
  <si>
    <t>29% of Savings up to                       $50,000 per Claim - Annualized Shared Savings Fees Collected October - March = $151,803</t>
  </si>
  <si>
    <t>Projected Pharmacy Contract Claims Cost / Savings</t>
  </si>
  <si>
    <t>Maxor Plus</t>
  </si>
  <si>
    <t>AWP - 15.5%</t>
  </si>
  <si>
    <t>Total Percentage Savings from Current</t>
  </si>
  <si>
    <t>Projected Network Medical Claims Cost / Savings</t>
  </si>
  <si>
    <t>UHC TPA Termination Fees</t>
  </si>
  <si>
    <t xml:space="preserve">Option 2 </t>
  </si>
  <si>
    <t>*Projected Medical &amp; Pharmacy Claims Cost savings are estimates based on the last 12 months of claims data and does not include pricing differential applied to out of network claims, pharmacy formulary migration or potential changes to plan design.</t>
  </si>
  <si>
    <t>$25,000 OS Budget</t>
  </si>
  <si>
    <t>THR ACO Offered</t>
  </si>
  <si>
    <t>Captiation Fees exist and were not disclosed in quote.</t>
  </si>
  <si>
    <t>Out of Network - Shared Savings Negotiation Fees (Estimated)</t>
  </si>
  <si>
    <t>29% of Savings up to                       $50,000 per Claim - Applies to Professional Only. Projected fees = $71,108</t>
  </si>
  <si>
    <t>29% of Savings - Projected Fees = $112,040 based upon Cigna out of network claims re-pricing data.</t>
  </si>
  <si>
    <t>*Repricing Analysis are estimates and are not a guarantee of future results.  Repricing is based on the last 12 months of claims data and does not include adjustments for potential changes to plan design.</t>
  </si>
  <si>
    <t>Total Charges</t>
  </si>
  <si>
    <t>In Network Charges</t>
  </si>
  <si>
    <t>In Network Discount</t>
  </si>
  <si>
    <t>In Network Allowed</t>
  </si>
  <si>
    <t>Out of Network Charges</t>
  </si>
  <si>
    <t>Out of Network Allowed</t>
  </si>
  <si>
    <t>Out of Network Discount</t>
  </si>
  <si>
    <t>Total Discount</t>
  </si>
  <si>
    <t>Total Allowed</t>
  </si>
  <si>
    <t xml:space="preserve">Eligbile </t>
  </si>
  <si>
    <t>Discount</t>
  </si>
  <si>
    <t>$30,000 Wellness Credit</t>
  </si>
  <si>
    <t>Dedicated On-site FTE</t>
  </si>
  <si>
    <t>Projected Pharmacy Claims</t>
  </si>
  <si>
    <t>$75,000 Fee Waiver for First Year</t>
  </si>
  <si>
    <t xml:space="preserve"> 3 Month Fee Waiver for first year =$44,017</t>
  </si>
  <si>
    <t>1 Month Admin Credit = $22,961</t>
  </si>
  <si>
    <t>PBM Credit = $3,600</t>
  </si>
  <si>
    <t>Renewal</t>
  </si>
  <si>
    <t>On-site Health Plan Coordinator</t>
  </si>
  <si>
    <t xml:space="preserve">Option </t>
  </si>
  <si>
    <t>Subro / Third Party Review</t>
  </si>
  <si>
    <t>Out of Network Fees</t>
  </si>
  <si>
    <t>Notes</t>
  </si>
  <si>
    <t>Stop Loss Renewal Rate Cap</t>
  </si>
  <si>
    <t>HSA Administration Fee</t>
  </si>
  <si>
    <t>Navitus</t>
  </si>
  <si>
    <t>No New Laser</t>
  </si>
  <si>
    <t>AGGREGATING SPECIFIC DEDUCTIBLE</t>
  </si>
  <si>
    <t>BS&amp;W</t>
  </si>
  <si>
    <t>Wellness Program</t>
  </si>
  <si>
    <t>HCH</t>
  </si>
  <si>
    <t>Dental Administration</t>
  </si>
  <si>
    <t>Dental</t>
  </si>
  <si>
    <t>UMR</t>
  </si>
  <si>
    <t>Network:</t>
  </si>
  <si>
    <t>Choice EPO</t>
  </si>
  <si>
    <t>Paid</t>
  </si>
  <si>
    <t>SPECIFIC PREMIUM:    Employee</t>
  </si>
  <si>
    <t xml:space="preserve">                                       Dependents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</si>
</sst>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8" formatCode="&quot;$&quot;#,##0.00_);[Red]\(&quot;$&quot;#,##0.00\)"/>
    <numFmt numFmtId="44" formatCode="_(&quot;$&quot;* #,##0.00_);_(&quot;$&quot;* \(#,##0.00\);_(&quot;$&quot;* &quot;-&quot;??_);_(@_)"/>
    <numFmt numFmtId="164" formatCode="&quot;$&quot;#,##0.00"/>
    <numFmt numFmtId="165" formatCode="0.0%"/>
    <numFmt numFmtId="166" formatCode="&quot;$&quot;#,##0"/>
  </numFmts>
  <fonts count="55" x14ac:knownFonts="1">
    <font>
      <sz val="10"/>
      <name val="Arial"/>
    </font>
    <font>
      <sz val="8"/>
      <name val="Arial"/>
      <family val="2"/>
    </font>
    <font>
      <sz val="10"/>
      <name val="Arial"/>
      <family val="2"/>
    </font>
    <font>
      <sz val="8"/>
      <name val="Arial"/>
      <family val="2"/>
    </font>
    <font>
      <b/>
      <sz val="8"/>
      <name val="Arial"/>
      <family val="2"/>
    </font>
    <font>
      <b/>
      <sz val="9"/>
      <name val="Arial"/>
      <family val="2"/>
    </font>
    <font>
      <b/>
      <sz val="10"/>
      <name val="Arial"/>
      <family val="2"/>
    </font>
    <font>
      <sz val="7"/>
      <name val="Arial"/>
      <family val="2"/>
    </font>
    <font>
      <sz val="10"/>
      <color indexed="10"/>
      <name val="Arial"/>
      <family val="2"/>
    </font>
    <font>
      <b/>
      <sz val="10"/>
      <color indexed="10"/>
      <name val="Arial"/>
      <family val="2"/>
    </font>
    <font>
      <sz val="10"/>
      <color indexed="9"/>
      <name val="Arial"/>
      <family val="2"/>
    </font>
    <font>
      <b/>
      <sz val="12"/>
      <color indexed="9"/>
      <name val="Arial"/>
      <family val="2"/>
    </font>
    <font>
      <b/>
      <sz val="10"/>
      <color indexed="9"/>
      <name val="Arial"/>
      <family val="2"/>
    </font>
    <font>
      <sz val="8"/>
      <color indexed="9"/>
      <name val="Arial"/>
      <family val="2"/>
    </font>
    <font>
      <sz val="8"/>
      <color indexed="10"/>
      <name val="Arial"/>
      <family val="2"/>
    </font>
    <font>
      <sz val="8"/>
      <color indexed="10"/>
      <name val="Arial"/>
      <family val="2"/>
    </font>
    <font>
      <b/>
      <sz val="8"/>
      <color indexed="10"/>
      <name val="Arial"/>
      <family val="2"/>
    </font>
    <font>
      <b/>
      <sz val="12"/>
      <name val="Times New Roman"/>
      <family val="1"/>
    </font>
    <font>
      <sz val="12"/>
      <name val="Times New Roman"/>
      <family val="1"/>
    </font>
    <font>
      <sz val="10"/>
      <color theme="1"/>
      <name val="Arial"/>
      <family val="2"/>
    </font>
    <font>
      <b/>
      <sz val="10"/>
      <color theme="1"/>
      <name val="Arial"/>
      <family val="2"/>
    </font>
    <font>
      <sz val="11"/>
      <name val="Calibri"/>
      <family val="2"/>
    </font>
    <font>
      <b/>
      <sz val="11"/>
      <name val="Calibri"/>
      <family val="2"/>
    </font>
    <font>
      <b/>
      <sz val="12"/>
      <name val="Calibri"/>
      <family val="2"/>
      <scheme val="minor"/>
    </font>
    <font>
      <sz val="12"/>
      <name val="Calibri"/>
      <family val="2"/>
      <scheme val="minor"/>
    </font>
    <font>
      <sz val="10"/>
      <name val="Calibri"/>
      <family val="2"/>
      <scheme val="minor"/>
    </font>
    <font>
      <sz val="6"/>
      <name val="Arial"/>
      <family val="2"/>
    </font>
    <font>
      <b/>
      <sz val="10"/>
      <color indexed="8"/>
      <name val="Arial"/>
      <family val="2"/>
    </font>
    <font>
      <sz val="8"/>
      <color rgb="FFFF0000"/>
      <name val="Arial"/>
      <family val="2"/>
    </font>
    <font>
      <b/>
      <sz val="9"/>
      <color rgb="FFFF0000"/>
      <name val="Arial"/>
      <family val="2"/>
    </font>
    <font>
      <b/>
      <sz val="12"/>
      <color theme="0"/>
      <name val="Calibri"/>
      <family val="2"/>
      <scheme val="minor"/>
    </font>
    <font>
      <b/>
      <sz val="11"/>
      <color theme="0"/>
      <name val="Calibri"/>
      <family val="2"/>
    </font>
    <font>
      <sz val="11"/>
      <color theme="0"/>
      <name val="Calibri"/>
      <family val="2"/>
    </font>
    <font>
      <sz val="10"/>
      <name val="Arial"/>
      <family val="2"/>
    </font>
    <font>
      <b/>
      <sz val="10"/>
      <color theme="0"/>
      <name val="Calibri"/>
      <family val="2"/>
      <scheme val="minor"/>
    </font>
    <font>
      <sz val="9"/>
      <name val="Calibri"/>
      <family val="2"/>
      <scheme val="minor"/>
    </font>
    <font>
      <b/>
      <sz val="10"/>
      <color indexed="9"/>
      <name val="Calibri"/>
      <family val="2"/>
      <scheme val="minor"/>
    </font>
    <font>
      <b/>
      <sz val="10"/>
      <color indexed="8"/>
      <name val="Calibri"/>
      <family val="2"/>
      <scheme val="minor"/>
    </font>
    <font>
      <b/>
      <sz val="9"/>
      <name val="Calibri"/>
      <family val="2"/>
      <scheme val="minor"/>
    </font>
    <font>
      <b/>
      <sz val="9"/>
      <color rgb="FFFF0000"/>
      <name val="Calibri"/>
      <family val="2"/>
      <scheme val="minor"/>
    </font>
    <font>
      <sz val="9"/>
      <color rgb="FFFF0000"/>
      <name val="Calibri"/>
      <family val="2"/>
      <scheme val="minor"/>
    </font>
    <font>
      <b/>
      <sz val="9"/>
      <color theme="0"/>
      <name val="Calibri"/>
      <family val="2"/>
      <scheme val="minor"/>
    </font>
    <font>
      <b/>
      <sz val="9"/>
      <color indexed="9"/>
      <name val="Calibri"/>
      <family val="2"/>
      <scheme val="minor"/>
    </font>
    <font>
      <sz val="10"/>
      <color rgb="FFFF0000"/>
      <name val="Calibri"/>
      <family val="2"/>
      <scheme val="minor"/>
    </font>
    <font>
      <b/>
      <sz val="9"/>
      <color indexed="8"/>
      <name val="Calibri"/>
      <family val="2"/>
      <scheme val="minor"/>
    </font>
    <font>
      <u/>
      <sz val="10"/>
      <color theme="10"/>
      <name val="Arial"/>
      <family val="2"/>
    </font>
    <font>
      <u/>
      <sz val="10"/>
      <color theme="11"/>
      <name val="Arial"/>
      <family val="2"/>
    </font>
    <font>
      <b/>
      <sz val="9"/>
      <name val="Calibri"/>
      <family val="2"/>
    </font>
    <font>
      <b/>
      <sz val="9"/>
      <color theme="1"/>
      <name val="Calibri"/>
      <family val="2"/>
      <scheme val="minor"/>
    </font>
    <font>
      <sz val="8"/>
      <name val="Calibri"/>
      <family val="2"/>
      <scheme val="minor"/>
    </font>
    <font>
      <b/>
      <sz val="8"/>
      <color rgb="FFFF0000"/>
      <name val="Arial"/>
      <family val="2"/>
    </font>
    <font>
      <b/>
      <sz val="8"/>
      <name val="Calibri"/>
      <family val="2"/>
      <scheme val="minor"/>
    </font>
    <font>
      <sz val="12"/>
      <color rgb="FFFF0000"/>
      <name val="Calibri"/>
      <family val="2"/>
      <scheme val="minor"/>
    </font>
    <font>
      <sz val="10"/>
      <name val="Arial"/>
      <family val="2"/>
    </font>
    <font>
      <b/>
      <sz val="9"/>
      <color rgb="FFFF0000"/>
      <name val="Calibri"/>
      <family val="2"/>
    </font>
  </fonts>
  <fills count="2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0"/>
        <bgColor indexed="64"/>
      </patternFill>
    </fill>
    <fill>
      <patternFill patternType="solid">
        <fgColor indexed="43"/>
        <bgColor indexed="64"/>
      </patternFill>
    </fill>
    <fill>
      <patternFill patternType="solid">
        <fgColor indexed="31"/>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C0C0C0"/>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4" tint="-0.499984740745262"/>
        <bgColor indexed="64"/>
      </patternFill>
    </fill>
    <fill>
      <patternFill patternType="solid">
        <fgColor rgb="FF1A4973"/>
        <bgColor indexed="64"/>
      </patternFill>
    </fill>
    <fill>
      <patternFill patternType="solid">
        <fgColor rgb="FF2B5E61"/>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00000"/>
        <bgColor indexed="64"/>
      </patternFill>
    </fill>
    <fill>
      <patternFill patternType="solid">
        <fgColor theme="0" tint="-0.249977111117893"/>
        <bgColor indexed="64"/>
      </patternFill>
    </fill>
    <fill>
      <patternFill patternType="solid">
        <fgColor theme="0" tint="-0.14999847407452621"/>
        <bgColor indexed="64"/>
      </patternFill>
    </fill>
  </fills>
  <borders count="110">
    <border>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bottom/>
      <diagonal/>
    </border>
    <border>
      <left style="medium">
        <color auto="1"/>
      </left>
      <right style="thin">
        <color auto="1"/>
      </right>
      <top/>
      <bottom/>
      <diagonal/>
    </border>
    <border>
      <left style="thin">
        <color auto="1"/>
      </left>
      <right style="medium">
        <color auto="1"/>
      </right>
      <top style="thin">
        <color auto="1"/>
      </top>
      <bottom/>
      <diagonal/>
    </border>
    <border>
      <left style="medium">
        <color auto="1"/>
      </left>
      <right/>
      <top style="thin">
        <color auto="1"/>
      </top>
      <bottom/>
      <diagonal/>
    </border>
    <border>
      <left style="medium">
        <color auto="1"/>
      </left>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thin">
        <color auto="1"/>
      </bottom>
      <diagonal/>
    </border>
    <border>
      <left style="thin">
        <color auto="1"/>
      </left>
      <right style="medium">
        <color auto="1"/>
      </right>
      <top/>
      <bottom style="medium">
        <color auto="1"/>
      </bottom>
      <diagonal/>
    </border>
    <border>
      <left style="thin">
        <color auto="1"/>
      </left>
      <right/>
      <top/>
      <bottom style="medium">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double">
        <color auto="1"/>
      </bottom>
      <diagonal/>
    </border>
    <border>
      <left style="thin">
        <color auto="1"/>
      </left>
      <right style="medium">
        <color auto="1"/>
      </right>
      <top/>
      <bottom style="double">
        <color auto="1"/>
      </bottom>
      <diagonal/>
    </border>
    <border>
      <left style="medium">
        <color auto="1"/>
      </left>
      <right/>
      <top style="double">
        <color auto="1"/>
      </top>
      <bottom/>
      <diagonal/>
    </border>
    <border>
      <left style="thin">
        <color auto="1"/>
      </left>
      <right style="medium">
        <color auto="1"/>
      </right>
      <top style="double">
        <color auto="1"/>
      </top>
      <bottom/>
      <diagonal/>
    </border>
    <border>
      <left style="medium">
        <color auto="1"/>
      </left>
      <right/>
      <top style="double">
        <color auto="1"/>
      </top>
      <bottom style="double">
        <color auto="1"/>
      </bottom>
      <diagonal/>
    </border>
    <border>
      <left style="thin">
        <color auto="1"/>
      </left>
      <right style="medium">
        <color auto="1"/>
      </right>
      <top style="double">
        <color auto="1"/>
      </top>
      <bottom style="double">
        <color auto="1"/>
      </bottom>
      <diagonal/>
    </border>
    <border>
      <left style="medium">
        <color auto="1"/>
      </left>
      <right/>
      <top/>
      <bottom style="medium">
        <color auto="1"/>
      </bottom>
      <diagonal/>
    </border>
    <border>
      <left/>
      <right style="thin">
        <color auto="1"/>
      </right>
      <top/>
      <bottom style="medium">
        <color auto="1"/>
      </bottom>
      <diagonal/>
    </border>
    <border>
      <left/>
      <right style="medium">
        <color auto="1"/>
      </right>
      <top/>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bottom style="double">
        <color auto="1"/>
      </bottom>
      <diagonal/>
    </border>
    <border>
      <left/>
      <right style="medium">
        <color auto="1"/>
      </right>
      <top style="double">
        <color auto="1"/>
      </top>
      <bottom/>
      <diagonal/>
    </border>
    <border>
      <left/>
      <right style="medium">
        <color auto="1"/>
      </right>
      <top style="double">
        <color auto="1"/>
      </top>
      <bottom style="double">
        <color auto="1"/>
      </bottom>
      <diagonal/>
    </border>
    <border>
      <left/>
      <right style="medium">
        <color auto="1"/>
      </right>
      <top/>
      <bottom style="medium">
        <color auto="1"/>
      </bottom>
      <diagonal/>
    </border>
    <border>
      <left style="thin">
        <color auto="1"/>
      </left>
      <right/>
      <top/>
      <bottom style="double">
        <color auto="1"/>
      </bottom>
      <diagonal/>
    </border>
    <border>
      <left style="thin">
        <color auto="1"/>
      </left>
      <right/>
      <top style="double">
        <color auto="1"/>
      </top>
      <bottom/>
      <diagonal/>
    </border>
    <border>
      <left/>
      <right/>
      <top/>
      <bottom style="medium">
        <color auto="1"/>
      </bottom>
      <diagonal/>
    </border>
    <border>
      <left/>
      <right style="medium">
        <color auto="1"/>
      </right>
      <top style="thin">
        <color auto="1"/>
      </top>
      <bottom/>
      <diagonal/>
    </border>
    <border>
      <left style="thin">
        <color auto="1"/>
      </left>
      <right/>
      <top style="double">
        <color auto="1"/>
      </top>
      <bottom style="double">
        <color auto="1"/>
      </bottom>
      <diagonal/>
    </border>
    <border>
      <left style="medium">
        <color auto="1"/>
      </left>
      <right style="medium">
        <color auto="1"/>
      </right>
      <top/>
      <bottom/>
      <diagonal/>
    </border>
    <border>
      <left/>
      <right/>
      <top style="medium">
        <color auto="1"/>
      </top>
      <bottom/>
      <diagonal/>
    </border>
    <border>
      <left/>
      <right/>
      <top style="thin">
        <color auto="1"/>
      </top>
      <bottom/>
      <diagonal/>
    </border>
    <border>
      <left/>
      <right/>
      <top/>
      <bottom style="thin">
        <color auto="1"/>
      </bottom>
      <diagonal/>
    </border>
    <border>
      <left style="medium">
        <color auto="1"/>
      </left>
      <right style="medium">
        <color auto="1"/>
      </right>
      <top/>
      <bottom style="medium">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right style="medium">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bottom style="double">
        <color auto="1"/>
      </bottom>
      <diagonal/>
    </border>
    <border>
      <left style="medium">
        <color auto="1"/>
      </left>
      <right style="medium">
        <color auto="1"/>
      </right>
      <top style="double">
        <color auto="1"/>
      </top>
      <bottom/>
      <diagonal/>
    </border>
    <border>
      <left style="medium">
        <color auto="1"/>
      </left>
      <right style="medium">
        <color auto="1"/>
      </right>
      <top style="double">
        <color auto="1"/>
      </top>
      <bottom style="double">
        <color auto="1"/>
      </bottom>
      <diagonal/>
    </border>
    <border>
      <left style="medium">
        <color auto="1"/>
      </left>
      <right style="medium">
        <color auto="1"/>
      </right>
      <top style="thin">
        <color auto="1"/>
      </top>
      <bottom style="double">
        <color auto="1"/>
      </bottom>
      <diagonal/>
    </border>
    <border>
      <left style="medium">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double">
        <color auto="1"/>
      </top>
      <bottom style="medium">
        <color auto="1"/>
      </bottom>
      <diagonal/>
    </border>
    <border>
      <left style="medium">
        <color auto="1"/>
      </left>
      <right style="medium">
        <color auto="1"/>
      </right>
      <top style="medium">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indexed="64"/>
      </bottom>
      <diagonal/>
    </border>
    <border>
      <left style="thin">
        <color auto="1"/>
      </left>
      <right/>
      <top style="thin">
        <color auto="1"/>
      </top>
      <bottom style="double">
        <color auto="1"/>
      </bottom>
      <diagonal/>
    </border>
    <border>
      <left style="thin">
        <color indexed="64"/>
      </left>
      <right style="thin">
        <color auto="1"/>
      </right>
      <top style="thin">
        <color auto="1"/>
      </top>
      <bottom style="double">
        <color auto="1"/>
      </bottom>
      <diagonal/>
    </border>
    <border>
      <left style="medium">
        <color auto="1"/>
      </left>
      <right style="thin">
        <color auto="1"/>
      </right>
      <top style="medium">
        <color auto="1"/>
      </top>
      <bottom/>
      <diagonal/>
    </border>
  </borders>
  <cellStyleXfs count="82">
    <xf numFmtId="0" fontId="0" fillId="0" borderId="0"/>
    <xf numFmtId="9" fontId="33" fillId="0" borderId="0" applyFont="0" applyFill="0" applyBorder="0" applyAlignment="0" applyProtection="0"/>
    <xf numFmtId="0" fontId="2" fillId="0" borderId="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44" fontId="53" fillId="0" borderId="0" applyFont="0" applyFill="0" applyBorder="0" applyAlignment="0" applyProtection="0"/>
    <xf numFmtId="0" fontId="2" fillId="0" borderId="0"/>
  </cellStyleXfs>
  <cellXfs count="1576">
    <xf numFmtId="0" fontId="0" fillId="0" borderId="0" xfId="0"/>
    <xf numFmtId="0" fontId="3" fillId="0" borderId="0" xfId="0" applyFont="1"/>
    <xf numFmtId="0" fontId="3" fillId="0" borderId="1" xfId="0" applyFont="1" applyBorder="1" applyAlignment="1">
      <alignment horizontal="center"/>
    </xf>
    <xf numFmtId="3" fontId="3" fillId="0" borderId="2" xfId="0" applyNumberFormat="1" applyFont="1" applyBorder="1" applyAlignment="1">
      <alignment horizontal="center"/>
    </xf>
    <xf numFmtId="16" fontId="3" fillId="0" borderId="3" xfId="0" applyNumberFormat="1" applyFont="1" applyBorder="1" applyAlignment="1">
      <alignment horizontal="center"/>
    </xf>
    <xf numFmtId="164" fontId="3" fillId="0" borderId="3" xfId="0" applyNumberFormat="1" applyFont="1" applyBorder="1"/>
    <xf numFmtId="0" fontId="3" fillId="0" borderId="3" xfId="0" applyFont="1" applyBorder="1"/>
    <xf numFmtId="166" fontId="3" fillId="0" borderId="3" xfId="0" applyNumberFormat="1" applyFont="1" applyBorder="1"/>
    <xf numFmtId="0" fontId="3" fillId="0" borderId="4" xfId="0" applyFont="1" applyBorder="1"/>
    <xf numFmtId="0" fontId="3" fillId="0" borderId="5" xfId="0" applyFont="1" applyBorder="1" applyAlignment="1">
      <alignment horizontal="center"/>
    </xf>
    <xf numFmtId="166" fontId="3" fillId="0" borderId="6" xfId="0" applyNumberFormat="1" applyFont="1" applyBorder="1"/>
    <xf numFmtId="0" fontId="4" fillId="0" borderId="0" xfId="0" applyFont="1"/>
    <xf numFmtId="0" fontId="4" fillId="0" borderId="1" xfId="0" applyFont="1" applyBorder="1" applyAlignment="1">
      <alignment horizontal="center"/>
    </xf>
    <xf numFmtId="164" fontId="4" fillId="0" borderId="3" xfId="0" applyNumberFormat="1" applyFont="1" applyBorder="1"/>
    <xf numFmtId="166" fontId="4" fillId="0" borderId="3" xfId="0" applyNumberFormat="1" applyFont="1" applyBorder="1"/>
    <xf numFmtId="0" fontId="4" fillId="0" borderId="7" xfId="0" applyFont="1" applyBorder="1"/>
    <xf numFmtId="0" fontId="4" fillId="0" borderId="8" xfId="0" applyFont="1" applyBorder="1" applyAlignment="1">
      <alignment horizontal="center"/>
    </xf>
    <xf numFmtId="166" fontId="4" fillId="0" borderId="9" xfId="0" applyNumberFormat="1" applyFont="1" applyBorder="1"/>
    <xf numFmtId="0" fontId="5" fillId="0" borderId="0" xfId="0" applyFont="1"/>
    <xf numFmtId="0" fontId="5" fillId="0" borderId="1" xfId="0" applyFont="1" applyBorder="1" applyAlignment="1">
      <alignment horizontal="center"/>
    </xf>
    <xf numFmtId="166" fontId="5" fillId="0" borderId="3" xfId="0" applyNumberFormat="1" applyFont="1" applyBorder="1"/>
    <xf numFmtId="0" fontId="5" fillId="0" borderId="4" xfId="0" applyFont="1" applyBorder="1"/>
    <xf numFmtId="0" fontId="5" fillId="0" borderId="5" xfId="0" applyFont="1" applyBorder="1" applyAlignment="1">
      <alignment horizontal="center"/>
    </xf>
    <xf numFmtId="166" fontId="5" fillId="0" borderId="6" xfId="0" applyNumberFormat="1" applyFont="1" applyBorder="1"/>
    <xf numFmtId="0" fontId="6" fillId="0" borderId="0" xfId="0" applyFont="1"/>
    <xf numFmtId="0" fontId="3" fillId="0" borderId="0" xfId="0" applyFont="1" applyAlignment="1">
      <alignment horizontal="center"/>
    </xf>
    <xf numFmtId="6" fontId="2" fillId="2" borderId="2" xfId="0" applyNumberFormat="1" applyFont="1" applyFill="1" applyBorder="1" applyAlignment="1">
      <alignment horizontal="center"/>
    </xf>
    <xf numFmtId="6" fontId="2" fillId="2" borderId="10" xfId="0" applyNumberFormat="1" applyFont="1" applyFill="1" applyBorder="1" applyAlignment="1">
      <alignment horizontal="center"/>
    </xf>
    <xf numFmtId="166" fontId="2" fillId="2" borderId="3" xfId="0" applyNumberFormat="1" applyFont="1" applyFill="1" applyBorder="1" applyAlignment="1">
      <alignment horizontal="center"/>
    </xf>
    <xf numFmtId="9" fontId="2" fillId="2" borderId="11" xfId="0" applyNumberFormat="1" applyFont="1" applyFill="1" applyBorder="1" applyAlignment="1">
      <alignment horizontal="center"/>
    </xf>
    <xf numFmtId="49" fontId="2" fillId="2" borderId="11" xfId="0" applyNumberFormat="1" applyFont="1" applyFill="1" applyBorder="1" applyAlignment="1">
      <alignment horizontal="center"/>
    </xf>
    <xf numFmtId="166" fontId="2" fillId="2" borderId="11" xfId="0" applyNumberFormat="1" applyFont="1" applyFill="1" applyBorder="1" applyAlignment="1">
      <alignment horizontal="center"/>
    </xf>
    <xf numFmtId="166" fontId="2" fillId="2" borderId="12" xfId="0" applyNumberFormat="1" applyFont="1" applyFill="1" applyBorder="1" applyAlignment="1">
      <alignment horizontal="center"/>
    </xf>
    <xf numFmtId="166" fontId="2" fillId="2" borderId="2" xfId="0" applyNumberFormat="1" applyFont="1" applyFill="1" applyBorder="1" applyAlignment="1">
      <alignment horizontal="center"/>
    </xf>
    <xf numFmtId="166" fontId="2" fillId="2" borderId="1" xfId="0" applyNumberFormat="1" applyFont="1" applyFill="1" applyBorder="1" applyAlignment="1">
      <alignment horizontal="center"/>
    </xf>
    <xf numFmtId="164" fontId="3" fillId="0" borderId="3" xfId="0" applyNumberFormat="1" applyFont="1" applyBorder="1" applyAlignment="1">
      <alignment horizontal="right"/>
    </xf>
    <xf numFmtId="164" fontId="0" fillId="0" borderId="0" xfId="0" applyNumberFormat="1"/>
    <xf numFmtId="166" fontId="7" fillId="0" borderId="0" xfId="0" applyNumberFormat="1" applyFont="1" applyAlignment="1">
      <alignment horizontal="center" wrapText="1"/>
    </xf>
    <xf numFmtId="164" fontId="2" fillId="2" borderId="11" xfId="0" applyNumberFormat="1" applyFont="1" applyFill="1" applyBorder="1" applyAlignment="1">
      <alignment horizontal="center"/>
    </xf>
    <xf numFmtId="49" fontId="2" fillId="2" borderId="11" xfId="0" applyNumberFormat="1" applyFont="1" applyFill="1" applyBorder="1" applyAlignment="1">
      <alignment horizontal="center" vertical="center"/>
    </xf>
    <xf numFmtId="49" fontId="2" fillId="2" borderId="2" xfId="0" applyNumberFormat="1" applyFont="1" applyFill="1" applyBorder="1" applyAlignment="1">
      <alignment horizontal="center"/>
    </xf>
    <xf numFmtId="49" fontId="2" fillId="0" borderId="11" xfId="0" applyNumberFormat="1" applyFont="1" applyBorder="1" applyAlignment="1">
      <alignment horizontal="center"/>
    </xf>
    <xf numFmtId="9" fontId="2" fillId="3" borderId="11" xfId="0" applyNumberFormat="1" applyFont="1" applyFill="1" applyBorder="1" applyAlignment="1">
      <alignment horizontal="center"/>
    </xf>
    <xf numFmtId="49" fontId="2" fillId="3" borderId="11" xfId="0" applyNumberFormat="1" applyFont="1" applyFill="1" applyBorder="1" applyAlignment="1">
      <alignment horizontal="center" vertical="center"/>
    </xf>
    <xf numFmtId="166" fontId="2" fillId="3" borderId="11" xfId="0" applyNumberFormat="1" applyFont="1" applyFill="1" applyBorder="1" applyAlignment="1">
      <alignment horizontal="center" vertical="center"/>
    </xf>
    <xf numFmtId="166" fontId="2" fillId="3" borderId="2" xfId="0" applyNumberFormat="1" applyFont="1" applyFill="1" applyBorder="1" applyAlignment="1">
      <alignment horizontal="center"/>
    </xf>
    <xf numFmtId="166" fontId="2" fillId="3" borderId="11" xfId="0" applyNumberFormat="1" applyFont="1" applyFill="1" applyBorder="1" applyAlignment="1">
      <alignment horizontal="center"/>
    </xf>
    <xf numFmtId="49" fontId="9" fillId="3" borderId="2" xfId="0" applyNumberFormat="1" applyFont="1" applyFill="1" applyBorder="1" applyAlignment="1">
      <alignment horizontal="center"/>
    </xf>
    <xf numFmtId="0" fontId="6" fillId="3" borderId="12" xfId="0" applyFont="1" applyFill="1" applyBorder="1" applyAlignment="1">
      <alignment horizontal="center"/>
    </xf>
    <xf numFmtId="49" fontId="8" fillId="3" borderId="11" xfId="0" applyNumberFormat="1" applyFont="1" applyFill="1" applyBorder="1" applyAlignment="1">
      <alignment horizontal="center"/>
    </xf>
    <xf numFmtId="0" fontId="0" fillId="3" borderId="11" xfId="0" applyFill="1" applyBorder="1" applyAlignment="1">
      <alignment horizontal="center"/>
    </xf>
    <xf numFmtId="0" fontId="4" fillId="0" borderId="13" xfId="0" applyFont="1" applyBorder="1"/>
    <xf numFmtId="0" fontId="4" fillId="0" borderId="14" xfId="0" applyFont="1" applyBorder="1" applyAlignment="1">
      <alignment horizontal="center"/>
    </xf>
    <xf numFmtId="0" fontId="4" fillId="0" borderId="15" xfId="0" applyFont="1" applyBorder="1"/>
    <xf numFmtId="5" fontId="10" fillId="4" borderId="16" xfId="0" applyNumberFormat="1" applyFont="1" applyFill="1" applyBorder="1"/>
    <xf numFmtId="5" fontId="2" fillId="4" borderId="11" xfId="0" applyNumberFormat="1" applyFont="1" applyFill="1" applyBorder="1"/>
    <xf numFmtId="0" fontId="2" fillId="4" borderId="3" xfId="0" applyFont="1" applyFill="1" applyBorder="1"/>
    <xf numFmtId="5" fontId="2" fillId="4" borderId="17" xfId="0" applyNumberFormat="1" applyFont="1" applyFill="1" applyBorder="1"/>
    <xf numFmtId="0" fontId="2" fillId="4" borderId="2" xfId="0" applyFont="1" applyFill="1" applyBorder="1" applyAlignment="1">
      <alignment horizontal="left"/>
    </xf>
    <xf numFmtId="0" fontId="2" fillId="4" borderId="10" xfId="0" applyFont="1" applyFill="1" applyBorder="1" applyAlignment="1">
      <alignment horizontal="left"/>
    </xf>
    <xf numFmtId="0" fontId="2" fillId="4" borderId="3" xfId="0" applyFont="1" applyFill="1" applyBorder="1" applyAlignment="1">
      <alignment horizontal="left"/>
    </xf>
    <xf numFmtId="0" fontId="2" fillId="4" borderId="11" xfId="0" applyFont="1" applyFill="1" applyBorder="1" applyAlignment="1">
      <alignment horizontal="left"/>
    </xf>
    <xf numFmtId="0" fontId="6" fillId="4" borderId="11" xfId="0" applyFont="1" applyFill="1" applyBorder="1" applyAlignment="1">
      <alignment horizontal="left"/>
    </xf>
    <xf numFmtId="0" fontId="2" fillId="4" borderId="11" xfId="0" applyFont="1" applyFill="1" applyBorder="1"/>
    <xf numFmtId="0" fontId="2" fillId="4" borderId="2" xfId="0" applyFont="1" applyFill="1" applyBorder="1"/>
    <xf numFmtId="166" fontId="2" fillId="4" borderId="11" xfId="0" applyNumberFormat="1" applyFont="1" applyFill="1" applyBorder="1"/>
    <xf numFmtId="0" fontId="2" fillId="4" borderId="2" xfId="0" applyFont="1" applyFill="1" applyBorder="1" applyAlignment="1">
      <alignment vertical="top"/>
    </xf>
    <xf numFmtId="0" fontId="2" fillId="4" borderId="3" xfId="0" applyFont="1" applyFill="1" applyBorder="1" applyAlignment="1">
      <alignment vertical="top"/>
    </xf>
    <xf numFmtId="0" fontId="6" fillId="4" borderId="2" xfId="0" applyFont="1" applyFill="1" applyBorder="1" applyAlignment="1">
      <alignment vertical="top"/>
    </xf>
    <xf numFmtId="166" fontId="2" fillId="4" borderId="3" xfId="0" applyNumberFormat="1" applyFont="1" applyFill="1" applyBorder="1"/>
    <xf numFmtId="0" fontId="6" fillId="4" borderId="18" xfId="0" applyFont="1" applyFill="1" applyBorder="1"/>
    <xf numFmtId="0" fontId="2" fillId="4" borderId="18" xfId="0" applyFont="1" applyFill="1" applyBorder="1"/>
    <xf numFmtId="0" fontId="6" fillId="4" borderId="19" xfId="0" applyFont="1" applyFill="1" applyBorder="1" applyAlignment="1">
      <alignment vertical="top"/>
    </xf>
    <xf numFmtId="0" fontId="2" fillId="4" borderId="19" xfId="0" applyFont="1" applyFill="1" applyBorder="1"/>
    <xf numFmtId="0" fontId="6" fillId="4" borderId="11" xfId="0" applyFont="1" applyFill="1" applyBorder="1"/>
    <xf numFmtId="0" fontId="11" fillId="4" borderId="17" xfId="0" applyFont="1" applyFill="1" applyBorder="1" applyAlignment="1">
      <alignment horizontal="center" vertical="top" wrapText="1"/>
    </xf>
    <xf numFmtId="166" fontId="2" fillId="2" borderId="19" xfId="0" applyNumberFormat="1" applyFont="1" applyFill="1" applyBorder="1" applyAlignment="1">
      <alignment horizontal="center"/>
    </xf>
    <xf numFmtId="6" fontId="2" fillId="2" borderId="3" xfId="0" applyNumberFormat="1" applyFont="1" applyFill="1" applyBorder="1" applyAlignment="1">
      <alignment horizontal="center"/>
    </xf>
    <xf numFmtId="0" fontId="2" fillId="0" borderId="0" xfId="0" applyFont="1"/>
    <xf numFmtId="164" fontId="3" fillId="5" borderId="3" xfId="0" applyNumberFormat="1" applyFont="1" applyFill="1" applyBorder="1"/>
    <xf numFmtId="0" fontId="0" fillId="5" borderId="0" xfId="0" applyFill="1"/>
    <xf numFmtId="10" fontId="5" fillId="0" borderId="6" xfId="0" applyNumberFormat="1" applyFont="1" applyBorder="1"/>
    <xf numFmtId="3" fontId="3" fillId="0" borderId="3" xfId="0" applyNumberFormat="1" applyFont="1" applyBorder="1" applyAlignment="1">
      <alignment horizontal="center"/>
    </xf>
    <xf numFmtId="164" fontId="3" fillId="2" borderId="3" xfId="0" applyNumberFormat="1" applyFont="1" applyFill="1" applyBorder="1"/>
    <xf numFmtId="0" fontId="13" fillId="6" borderId="11" xfId="0" applyFont="1" applyFill="1" applyBorder="1" applyAlignment="1">
      <alignment horizontal="center" vertical="center" wrapText="1"/>
    </xf>
    <xf numFmtId="0" fontId="1" fillId="0" borderId="0" xfId="0" applyFont="1"/>
    <xf numFmtId="0" fontId="11" fillId="6" borderId="20" xfId="0" applyFont="1" applyFill="1" applyBorder="1" applyAlignment="1">
      <alignment horizontal="center" vertical="top" wrapText="1"/>
    </xf>
    <xf numFmtId="0" fontId="11" fillId="4" borderId="21" xfId="0" applyFont="1" applyFill="1" applyBorder="1" applyAlignment="1">
      <alignment horizontal="center" vertical="top" wrapText="1"/>
    </xf>
    <xf numFmtId="5" fontId="10" fillId="4" borderId="22" xfId="0" applyNumberFormat="1" applyFont="1" applyFill="1" applyBorder="1"/>
    <xf numFmtId="5" fontId="10" fillId="6" borderId="23" xfId="0" applyNumberFormat="1" applyFont="1" applyFill="1" applyBorder="1"/>
    <xf numFmtId="0" fontId="12" fillId="6" borderId="25" xfId="0" applyFont="1" applyFill="1" applyBorder="1"/>
    <xf numFmtId="0" fontId="10" fillId="6" borderId="25" xfId="0" applyFont="1" applyFill="1" applyBorder="1" applyAlignment="1">
      <alignment horizontal="left"/>
    </xf>
    <xf numFmtId="0" fontId="10" fillId="6" borderId="22" xfId="0" applyFont="1" applyFill="1" applyBorder="1" applyAlignment="1">
      <alignment horizontal="left"/>
    </xf>
    <xf numFmtId="0" fontId="10" fillId="6" borderId="23" xfId="0" applyFont="1" applyFill="1" applyBorder="1" applyAlignment="1">
      <alignment horizontal="left"/>
    </xf>
    <xf numFmtId="0" fontId="12" fillId="6" borderId="23" xfId="0" applyFont="1" applyFill="1" applyBorder="1" applyAlignment="1">
      <alignment horizontal="left"/>
    </xf>
    <xf numFmtId="0" fontId="10" fillId="6" borderId="23" xfId="0" applyFont="1" applyFill="1" applyBorder="1"/>
    <xf numFmtId="166" fontId="10" fillId="6" borderId="23" xfId="0" applyNumberFormat="1" applyFont="1" applyFill="1" applyBorder="1"/>
    <xf numFmtId="0" fontId="10" fillId="6" borderId="25" xfId="0" applyFont="1" applyFill="1" applyBorder="1" applyAlignment="1">
      <alignment vertical="top"/>
    </xf>
    <xf numFmtId="0" fontId="10" fillId="6" borderId="27" xfId="0" applyFont="1" applyFill="1" applyBorder="1" applyAlignment="1">
      <alignment vertical="top"/>
    </xf>
    <xf numFmtId="0" fontId="12" fillId="6" borderId="25" xfId="0" applyFont="1" applyFill="1" applyBorder="1" applyAlignment="1">
      <alignment vertical="top"/>
    </xf>
    <xf numFmtId="166" fontId="10" fillId="6" borderId="27" xfId="0" applyNumberFormat="1" applyFont="1" applyFill="1" applyBorder="1"/>
    <xf numFmtId="0" fontId="10" fillId="6" borderId="29" xfId="0" applyFont="1" applyFill="1" applyBorder="1"/>
    <xf numFmtId="0" fontId="10" fillId="6" borderId="30" xfId="0" applyFont="1" applyFill="1" applyBorder="1"/>
    <xf numFmtId="0" fontId="12" fillId="6" borderId="23" xfId="0" applyFont="1" applyFill="1" applyBorder="1"/>
    <xf numFmtId="0" fontId="11" fillId="4" borderId="23" xfId="0" applyFont="1" applyFill="1" applyBorder="1" applyAlignment="1">
      <alignment horizontal="center" vertical="top" wrapText="1"/>
    </xf>
    <xf numFmtId="0" fontId="10" fillId="6" borderId="27" xfId="0" applyFont="1" applyFill="1" applyBorder="1"/>
    <xf numFmtId="0" fontId="10" fillId="6" borderId="31" xfId="0" applyFont="1" applyFill="1" applyBorder="1"/>
    <xf numFmtId="0" fontId="2" fillId="4" borderId="32" xfId="0" applyFont="1" applyFill="1" applyBorder="1"/>
    <xf numFmtId="166" fontId="2" fillId="2" borderId="32" xfId="0" applyNumberFormat="1" applyFont="1" applyFill="1" applyBorder="1" applyAlignment="1">
      <alignment horizontal="center"/>
    </xf>
    <xf numFmtId="3" fontId="3" fillId="7" borderId="3" xfId="0" applyNumberFormat="1" applyFont="1" applyFill="1" applyBorder="1" applyAlignment="1">
      <alignment horizontal="center"/>
    </xf>
    <xf numFmtId="49" fontId="2" fillId="2" borderId="17" xfId="0" applyNumberFormat="1" applyFont="1" applyFill="1" applyBorder="1" applyAlignment="1">
      <alignment horizontal="center"/>
    </xf>
    <xf numFmtId="164" fontId="2" fillId="2" borderId="17" xfId="0" applyNumberFormat="1" applyFont="1" applyFill="1" applyBorder="1" applyAlignment="1">
      <alignment horizontal="center"/>
    </xf>
    <xf numFmtId="6" fontId="2" fillId="2" borderId="16" xfId="0" applyNumberFormat="1" applyFont="1" applyFill="1" applyBorder="1" applyAlignment="1">
      <alignment horizontal="center"/>
    </xf>
    <xf numFmtId="9" fontId="2" fillId="2" borderId="17" xfId="0" applyNumberFormat="1" applyFont="1" applyFill="1" applyBorder="1" applyAlignment="1">
      <alignment horizontal="center"/>
    </xf>
    <xf numFmtId="9" fontId="2" fillId="3" borderId="17" xfId="0" applyNumberFormat="1" applyFont="1" applyFill="1" applyBorder="1" applyAlignment="1">
      <alignment horizontal="center"/>
    </xf>
    <xf numFmtId="49" fontId="2" fillId="2" borderId="18" xfId="0" applyNumberFormat="1" applyFont="1" applyFill="1" applyBorder="1" applyAlignment="1">
      <alignment horizontal="center"/>
    </xf>
    <xf numFmtId="166" fontId="2" fillId="3" borderId="18" xfId="0" applyNumberFormat="1" applyFont="1" applyFill="1" applyBorder="1" applyAlignment="1">
      <alignment horizontal="center"/>
    </xf>
    <xf numFmtId="166" fontId="2" fillId="3" borderId="17" xfId="0" applyNumberFormat="1" applyFont="1" applyFill="1" applyBorder="1" applyAlignment="1">
      <alignment horizontal="center"/>
    </xf>
    <xf numFmtId="166" fontId="2" fillId="2" borderId="35" xfId="0" applyNumberFormat="1" applyFont="1" applyFill="1" applyBorder="1" applyAlignment="1">
      <alignment horizontal="center"/>
    </xf>
    <xf numFmtId="0" fontId="13" fillId="6" borderId="36" xfId="0" applyFont="1" applyFill="1" applyBorder="1" applyAlignment="1">
      <alignment horizontal="center" vertical="center" wrapText="1"/>
    </xf>
    <xf numFmtId="0" fontId="13" fillId="6" borderId="37" xfId="0" applyFont="1" applyFill="1" applyBorder="1" applyAlignment="1">
      <alignment horizontal="left" vertical="center" wrapText="1"/>
    </xf>
    <xf numFmtId="0" fontId="13" fillId="6" borderId="36" xfId="0" applyFont="1" applyFill="1" applyBorder="1" applyAlignment="1">
      <alignment horizontal="left" vertical="center" wrapText="1"/>
    </xf>
    <xf numFmtId="16" fontId="3" fillId="0" borderId="1" xfId="0" applyNumberFormat="1" applyFont="1" applyBorder="1" applyAlignment="1">
      <alignment horizontal="center"/>
    </xf>
    <xf numFmtId="3" fontId="3" fillId="7" borderId="1" xfId="0" applyNumberFormat="1" applyFont="1" applyFill="1" applyBorder="1" applyAlignment="1">
      <alignment horizontal="center"/>
    </xf>
    <xf numFmtId="164" fontId="3" fillId="0" borderId="1" xfId="0" applyNumberFormat="1" applyFont="1" applyBorder="1"/>
    <xf numFmtId="0" fontId="3" fillId="0" borderId="1" xfId="0" applyFont="1" applyBorder="1"/>
    <xf numFmtId="166" fontId="3" fillId="0" borderId="1" xfId="0" applyNumberFormat="1" applyFont="1" applyBorder="1"/>
    <xf numFmtId="166" fontId="3" fillId="0" borderId="5" xfId="0" applyNumberFormat="1" applyFont="1" applyBorder="1"/>
    <xf numFmtId="0" fontId="4" fillId="0" borderId="14" xfId="0" applyFont="1" applyBorder="1"/>
    <xf numFmtId="164" fontId="4" fillId="0" borderId="1" xfId="0" applyNumberFormat="1" applyFont="1" applyBorder="1"/>
    <xf numFmtId="166" fontId="4" fillId="0" borderId="1" xfId="0" applyNumberFormat="1" applyFont="1" applyBorder="1"/>
    <xf numFmtId="166" fontId="4" fillId="0" borderId="8" xfId="0" applyNumberFormat="1" applyFont="1" applyBorder="1"/>
    <xf numFmtId="164" fontId="3" fillId="0" borderId="1" xfId="0" applyNumberFormat="1" applyFont="1" applyBorder="1" applyAlignment="1">
      <alignment horizontal="right"/>
    </xf>
    <xf numFmtId="166" fontId="5" fillId="0" borderId="1" xfId="0" applyNumberFormat="1" applyFont="1" applyBorder="1"/>
    <xf numFmtId="166" fontId="5" fillId="0" borderId="5" xfId="0" applyNumberFormat="1" applyFont="1" applyBorder="1"/>
    <xf numFmtId="10" fontId="5" fillId="0" borderId="5" xfId="0" applyNumberFormat="1" applyFont="1" applyBorder="1"/>
    <xf numFmtId="0" fontId="13" fillId="6" borderId="38" xfId="0" applyFont="1" applyFill="1" applyBorder="1" applyAlignment="1">
      <alignment horizontal="left" vertical="center" wrapText="1"/>
    </xf>
    <xf numFmtId="0" fontId="13" fillId="6" borderId="39" xfId="0" applyFont="1" applyFill="1" applyBorder="1" applyAlignment="1">
      <alignment horizontal="left" vertical="center" wrapText="1"/>
    </xf>
    <xf numFmtId="0" fontId="13" fillId="6" borderId="40" xfId="0" applyFont="1" applyFill="1" applyBorder="1" applyAlignment="1">
      <alignment horizontal="left" vertical="center" wrapText="1"/>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2" xfId="0" applyFont="1" applyFill="1" applyBorder="1" applyAlignment="1">
      <alignment horizontal="center" vertical="center" wrapText="1"/>
    </xf>
    <xf numFmtId="0" fontId="13" fillId="6" borderId="43" xfId="0" applyFont="1" applyFill="1" applyBorder="1" applyAlignment="1">
      <alignment horizontal="left" vertical="center" wrapText="1"/>
    </xf>
    <xf numFmtId="0" fontId="13" fillId="6" borderId="24" xfId="0" applyFont="1" applyFill="1" applyBorder="1" applyAlignment="1">
      <alignment horizontal="center" vertical="center" wrapText="1"/>
    </xf>
    <xf numFmtId="0" fontId="3" fillId="0" borderId="30" xfId="0" applyFont="1" applyBorder="1"/>
    <xf numFmtId="16" fontId="3" fillId="0" borderId="26" xfId="0" applyNumberFormat="1" applyFont="1" applyBorder="1" applyAlignment="1">
      <alignment horizontal="center"/>
    </xf>
    <xf numFmtId="3" fontId="3" fillId="0" borderId="26" xfId="0" applyNumberFormat="1" applyFont="1" applyBorder="1" applyAlignment="1">
      <alignment horizontal="center"/>
    </xf>
    <xf numFmtId="0" fontId="3" fillId="0" borderId="30" xfId="0" quotePrefix="1" applyFont="1" applyBorder="1"/>
    <xf numFmtId="164" fontId="3" fillId="0" borderId="26" xfId="0" applyNumberFormat="1" applyFont="1" applyBorder="1"/>
    <xf numFmtId="0" fontId="3" fillId="0" borderId="26" xfId="0" applyFont="1" applyBorder="1"/>
    <xf numFmtId="166" fontId="3" fillId="0" borderId="26" xfId="0" applyNumberFormat="1" applyFont="1" applyBorder="1"/>
    <xf numFmtId="0" fontId="3" fillId="0" borderId="44" xfId="0" applyFont="1" applyBorder="1"/>
    <xf numFmtId="166" fontId="3" fillId="0" borderId="45" xfId="0" applyNumberFormat="1" applyFont="1" applyBorder="1"/>
    <xf numFmtId="0" fontId="4" fillId="0" borderId="46" xfId="0" applyFont="1" applyBorder="1"/>
    <xf numFmtId="0" fontId="4" fillId="0" borderId="47" xfId="0" applyFont="1" applyBorder="1"/>
    <xf numFmtId="0" fontId="4" fillId="0" borderId="30" xfId="0" quotePrefix="1" applyFont="1" applyBorder="1"/>
    <xf numFmtId="164" fontId="4" fillId="0" borderId="26" xfId="0" applyNumberFormat="1" applyFont="1" applyBorder="1"/>
    <xf numFmtId="166" fontId="4" fillId="0" borderId="26" xfId="0" applyNumberFormat="1" applyFont="1" applyBorder="1"/>
    <xf numFmtId="0" fontId="4" fillId="0" borderId="48" xfId="0" quotePrefix="1" applyFont="1" applyBorder="1"/>
    <xf numFmtId="166" fontId="4" fillId="0" borderId="49" xfId="0" applyNumberFormat="1" applyFont="1" applyBorder="1"/>
    <xf numFmtId="164" fontId="3" fillId="0" borderId="26" xfId="0" applyNumberFormat="1" applyFont="1" applyBorder="1" applyAlignment="1">
      <alignment horizontal="right"/>
    </xf>
    <xf numFmtId="0" fontId="3" fillId="0" borderId="44" xfId="0" quotePrefix="1" applyFont="1" applyBorder="1"/>
    <xf numFmtId="166" fontId="5" fillId="0" borderId="26" xfId="0" applyNumberFormat="1" applyFont="1" applyBorder="1"/>
    <xf numFmtId="166" fontId="5" fillId="0" borderId="45" xfId="0" applyNumberFormat="1" applyFont="1" applyBorder="1"/>
    <xf numFmtId="0" fontId="5" fillId="0" borderId="30" xfId="0" applyFont="1" applyBorder="1"/>
    <xf numFmtId="0" fontId="5" fillId="0" borderId="50" xfId="0" applyFont="1" applyBorder="1"/>
    <xf numFmtId="0" fontId="5" fillId="0" borderId="51" xfId="0" applyFont="1" applyBorder="1" applyAlignment="1">
      <alignment horizontal="center"/>
    </xf>
    <xf numFmtId="166" fontId="5" fillId="0" borderId="32" xfId="0" applyNumberFormat="1" applyFont="1" applyBorder="1"/>
    <xf numFmtId="10" fontId="5" fillId="0" borderId="32" xfId="0" applyNumberFormat="1" applyFont="1" applyBorder="1"/>
    <xf numFmtId="0" fontId="4" fillId="0" borderId="30" xfId="0" applyFont="1" applyBorder="1"/>
    <xf numFmtId="166" fontId="5" fillId="0" borderId="0" xfId="0" applyNumberFormat="1" applyFont="1"/>
    <xf numFmtId="10" fontId="5" fillId="0" borderId="0" xfId="0" applyNumberFormat="1" applyFont="1"/>
    <xf numFmtId="166" fontId="4" fillId="0" borderId="52" xfId="0" applyNumberFormat="1" applyFont="1" applyBorder="1"/>
    <xf numFmtId="0" fontId="4" fillId="0" borderId="44" xfId="0" quotePrefix="1" applyFont="1" applyBorder="1"/>
    <xf numFmtId="0" fontId="4" fillId="0" borderId="4" xfId="0" applyFont="1" applyBorder="1"/>
    <xf numFmtId="0" fontId="4" fillId="0" borderId="5" xfId="0" applyFont="1" applyBorder="1" applyAlignment="1">
      <alignment horizontal="center"/>
    </xf>
    <xf numFmtId="166" fontId="4" fillId="0" borderId="6" xfId="0" applyNumberFormat="1" applyFont="1" applyBorder="1"/>
    <xf numFmtId="0" fontId="4" fillId="0" borderId="0" xfId="0" applyFont="1" applyAlignment="1">
      <alignment horizontal="center"/>
    </xf>
    <xf numFmtId="0" fontId="13" fillId="6" borderId="53" xfId="0" applyFont="1" applyFill="1" applyBorder="1" applyAlignment="1">
      <alignment horizontal="center" vertical="center" wrapText="1"/>
    </xf>
    <xf numFmtId="0" fontId="13" fillId="6" borderId="54" xfId="0" applyFont="1" applyFill="1" applyBorder="1" applyAlignment="1">
      <alignment horizontal="center" vertical="center" wrapText="1"/>
    </xf>
    <xf numFmtId="16" fontId="3" fillId="0" borderId="52" xfId="0" applyNumberFormat="1" applyFont="1" applyBorder="1" applyAlignment="1">
      <alignment horizontal="center"/>
    </xf>
    <xf numFmtId="3" fontId="3" fillId="0" borderId="52" xfId="0" applyNumberFormat="1" applyFont="1" applyBorder="1" applyAlignment="1">
      <alignment horizontal="center"/>
    </xf>
    <xf numFmtId="164" fontId="3" fillId="0" borderId="52" xfId="0" applyNumberFormat="1" applyFont="1" applyBorder="1"/>
    <xf numFmtId="0" fontId="3" fillId="0" borderId="52" xfId="0" applyFont="1" applyBorder="1"/>
    <xf numFmtId="166" fontId="3" fillId="0" borderId="52" xfId="0" applyNumberFormat="1" applyFont="1" applyBorder="1"/>
    <xf numFmtId="166" fontId="3" fillId="0" borderId="55" xfId="0" applyNumberFormat="1" applyFont="1" applyBorder="1"/>
    <xf numFmtId="0" fontId="4" fillId="0" borderId="56" xfId="0" applyFont="1" applyBorder="1"/>
    <xf numFmtId="164" fontId="4" fillId="0" borderId="52" xfId="0" applyNumberFormat="1" applyFont="1" applyBorder="1"/>
    <xf numFmtId="166" fontId="4" fillId="0" borderId="57" xfId="0" applyNumberFormat="1" applyFont="1" applyBorder="1"/>
    <xf numFmtId="164" fontId="3" fillId="0" borderId="52" xfId="0" applyNumberFormat="1" applyFont="1" applyBorder="1" applyAlignment="1">
      <alignment horizontal="right"/>
    </xf>
    <xf numFmtId="166" fontId="5" fillId="0" borderId="52" xfId="0" applyNumberFormat="1" applyFont="1" applyBorder="1"/>
    <xf numFmtId="166" fontId="5" fillId="0" borderId="55" xfId="0" applyNumberFormat="1" applyFont="1" applyBorder="1"/>
    <xf numFmtId="10" fontId="5" fillId="0" borderId="58" xfId="0" applyNumberFormat="1" applyFont="1" applyBorder="1"/>
    <xf numFmtId="166" fontId="4" fillId="0" borderId="19" xfId="0" applyNumberFormat="1" applyFont="1" applyBorder="1"/>
    <xf numFmtId="0" fontId="5" fillId="0" borderId="44" xfId="0" applyFont="1" applyBorder="1"/>
    <xf numFmtId="166" fontId="5" fillId="0" borderId="59" xfId="0" applyNumberFormat="1" applyFont="1" applyBorder="1"/>
    <xf numFmtId="166" fontId="5" fillId="0" borderId="4" xfId="0" applyNumberFormat="1" applyFont="1" applyBorder="1"/>
    <xf numFmtId="0" fontId="4" fillId="0" borderId="60" xfId="0" applyFont="1" applyBorder="1"/>
    <xf numFmtId="164" fontId="4" fillId="0" borderId="19" xfId="0" applyNumberFormat="1" applyFont="1" applyBorder="1"/>
    <xf numFmtId="166" fontId="4" fillId="0" borderId="59" xfId="0" applyNumberFormat="1" applyFont="1" applyBorder="1"/>
    <xf numFmtId="166" fontId="3" fillId="0" borderId="0" xfId="0" applyNumberFormat="1" applyFont="1" applyAlignment="1">
      <alignment horizontal="center" wrapText="1"/>
    </xf>
    <xf numFmtId="10" fontId="3" fillId="0" borderId="0" xfId="0" applyNumberFormat="1" applyFont="1" applyAlignment="1">
      <alignment horizontal="center"/>
    </xf>
    <xf numFmtId="164" fontId="3" fillId="2" borderId="3" xfId="0" applyNumberFormat="1" applyFont="1" applyFill="1" applyBorder="1" applyAlignment="1">
      <alignment horizontal="right"/>
    </xf>
    <xf numFmtId="16" fontId="14" fillId="0" borderId="3" xfId="0" applyNumberFormat="1" applyFont="1" applyBorder="1" applyAlignment="1">
      <alignment horizontal="center"/>
    </xf>
    <xf numFmtId="16" fontId="14" fillId="5" borderId="3" xfId="0" applyNumberFormat="1" applyFont="1" applyFill="1" applyBorder="1" applyAlignment="1">
      <alignment horizontal="center"/>
    </xf>
    <xf numFmtId="0" fontId="15" fillId="0" borderId="0" xfId="0" applyFont="1" applyAlignment="1">
      <alignment horizontal="center"/>
    </xf>
    <xf numFmtId="10" fontId="5" fillId="0" borderId="6" xfId="0" applyNumberFormat="1" applyFont="1" applyBorder="1" applyAlignment="1">
      <alignment horizontal="right"/>
    </xf>
    <xf numFmtId="166" fontId="5" fillId="0" borderId="32" xfId="0" applyNumberFormat="1" applyFont="1" applyBorder="1" applyAlignment="1">
      <alignment horizontal="right"/>
    </xf>
    <xf numFmtId="166" fontId="3" fillId="0" borderId="19" xfId="0" applyNumberFormat="1" applyFont="1" applyBorder="1"/>
    <xf numFmtId="10" fontId="3" fillId="0" borderId="0" xfId="0" applyNumberFormat="1" applyFont="1"/>
    <xf numFmtId="10" fontId="5" fillId="0" borderId="45" xfId="0" applyNumberFormat="1" applyFont="1" applyBorder="1"/>
    <xf numFmtId="166" fontId="5" fillId="0" borderId="34" xfId="0" applyNumberFormat="1" applyFont="1" applyBorder="1"/>
    <xf numFmtId="166" fontId="7" fillId="0" borderId="61" xfId="0" applyNumberFormat="1" applyFont="1" applyBorder="1" applyAlignment="1">
      <alignment horizontal="center" wrapText="1"/>
    </xf>
    <xf numFmtId="0" fontId="0" fillId="0" borderId="61" xfId="0" applyBorder="1"/>
    <xf numFmtId="3" fontId="16" fillId="0" borderId="2" xfId="0" applyNumberFormat="1" applyFont="1" applyBorder="1" applyAlignment="1">
      <alignment horizontal="center"/>
    </xf>
    <xf numFmtId="4" fontId="7" fillId="0" borderId="0" xfId="0" applyNumberFormat="1" applyFont="1" applyAlignment="1">
      <alignment horizontal="center" wrapText="1"/>
    </xf>
    <xf numFmtId="4" fontId="3" fillId="0" borderId="3" xfId="0" applyNumberFormat="1" applyFont="1" applyBorder="1"/>
    <xf numFmtId="10" fontId="5" fillId="0" borderId="5" xfId="0" applyNumberFormat="1" applyFont="1" applyBorder="1" applyAlignment="1">
      <alignment horizontal="center"/>
    </xf>
    <xf numFmtId="0" fontId="5" fillId="0" borderId="4" xfId="0" applyFont="1" applyBorder="1" applyAlignment="1">
      <alignment horizontal="center"/>
    </xf>
    <xf numFmtId="166" fontId="5" fillId="0" borderId="35" xfId="0" applyNumberFormat="1" applyFont="1" applyBorder="1"/>
    <xf numFmtId="10" fontId="5" fillId="0" borderId="51" xfId="0" applyNumberFormat="1" applyFont="1" applyBorder="1" applyAlignment="1">
      <alignment horizontal="center"/>
    </xf>
    <xf numFmtId="166" fontId="5" fillId="0" borderId="61" xfId="0" applyNumberFormat="1" applyFont="1" applyBorder="1"/>
    <xf numFmtId="0" fontId="12" fillId="6" borderId="23" xfId="0" applyFont="1" applyFill="1" applyBorder="1" applyAlignment="1">
      <alignment vertical="top"/>
    </xf>
    <xf numFmtId="10" fontId="7" fillId="0" borderId="0" xfId="0" applyNumberFormat="1" applyFont="1" applyAlignment="1">
      <alignment horizontal="center" wrapText="1"/>
    </xf>
    <xf numFmtId="166" fontId="4" fillId="0" borderId="45" xfId="0" applyNumberFormat="1" applyFont="1" applyBorder="1"/>
    <xf numFmtId="4" fontId="1" fillId="0" borderId="26" xfId="0" applyNumberFormat="1" applyFont="1" applyBorder="1" applyAlignment="1">
      <alignment horizontal="right"/>
    </xf>
    <xf numFmtId="0" fontId="1" fillId="0" borderId="30" xfId="0" applyFont="1" applyBorder="1"/>
    <xf numFmtId="3" fontId="4" fillId="0" borderId="28" xfId="0" applyNumberFormat="1" applyFont="1" applyBorder="1" applyAlignment="1">
      <alignment horizontal="center"/>
    </xf>
    <xf numFmtId="0" fontId="1" fillId="0" borderId="30" xfId="0" quotePrefix="1" applyFont="1" applyBorder="1"/>
    <xf numFmtId="0" fontId="7" fillId="0" borderId="0" xfId="0" applyFont="1"/>
    <xf numFmtId="164" fontId="1" fillId="2" borderId="26" xfId="0" applyNumberFormat="1" applyFont="1" applyFill="1" applyBorder="1" applyAlignment="1">
      <alignment horizontal="right"/>
    </xf>
    <xf numFmtId="0" fontId="3" fillId="0" borderId="61" xfId="0" applyFont="1" applyBorder="1"/>
    <xf numFmtId="0" fontId="3" fillId="0" borderId="51" xfId="0" applyFont="1" applyBorder="1" applyAlignment="1">
      <alignment horizontal="center"/>
    </xf>
    <xf numFmtId="166" fontId="3" fillId="0" borderId="32" xfId="0" applyNumberFormat="1" applyFont="1" applyBorder="1"/>
    <xf numFmtId="166" fontId="3" fillId="0" borderId="32" xfId="0" applyNumberFormat="1" applyFont="1" applyBorder="1" applyAlignment="1">
      <alignment horizontal="right"/>
    </xf>
    <xf numFmtId="0" fontId="1" fillId="0" borderId="50" xfId="0" applyFont="1" applyBorder="1"/>
    <xf numFmtId="166" fontId="2" fillId="2" borderId="18" xfId="0" applyNumberFormat="1" applyFont="1" applyFill="1" applyBorder="1" applyAlignment="1">
      <alignment horizontal="center"/>
    </xf>
    <xf numFmtId="164" fontId="1" fillId="0" borderId="26" xfId="0" applyNumberFormat="1" applyFont="1" applyBorder="1" applyAlignment="1">
      <alignment horizontal="right"/>
    </xf>
    <xf numFmtId="164" fontId="3" fillId="0" borderId="0" xfId="0" applyNumberFormat="1" applyFont="1" applyAlignment="1">
      <alignment horizontal="right"/>
    </xf>
    <xf numFmtId="49" fontId="2" fillId="2" borderId="17" xfId="0" applyNumberFormat="1" applyFont="1" applyFill="1" applyBorder="1" applyAlignment="1">
      <alignment horizontal="center" vertical="center"/>
    </xf>
    <xf numFmtId="49" fontId="2" fillId="3" borderId="17" xfId="0" applyNumberFormat="1" applyFont="1" applyFill="1" applyBorder="1" applyAlignment="1">
      <alignment horizontal="center" vertical="center"/>
    </xf>
    <xf numFmtId="49" fontId="6" fillId="3" borderId="18" xfId="0" applyNumberFormat="1" applyFont="1" applyFill="1" applyBorder="1" applyAlignment="1">
      <alignment horizontal="center"/>
    </xf>
    <xf numFmtId="9" fontId="2" fillId="2" borderId="19" xfId="0" applyNumberFormat="1" applyFont="1" applyFill="1" applyBorder="1" applyAlignment="1">
      <alignment horizontal="center"/>
    </xf>
    <xf numFmtId="49" fontId="2" fillId="3" borderId="17" xfId="0" applyNumberFormat="1" applyFont="1" applyFill="1" applyBorder="1" applyAlignment="1">
      <alignment horizontal="center"/>
    </xf>
    <xf numFmtId="49" fontId="2" fillId="0" borderId="17" xfId="0" applyNumberFormat="1" applyFont="1" applyBorder="1" applyAlignment="1">
      <alignment horizontal="center"/>
    </xf>
    <xf numFmtId="0" fontId="2" fillId="4" borderId="18" xfId="0" applyFont="1" applyFill="1" applyBorder="1" applyAlignment="1">
      <alignment horizontal="left"/>
    </xf>
    <xf numFmtId="0" fontId="2" fillId="4" borderId="16" xfId="0" applyFont="1" applyFill="1" applyBorder="1" applyAlignment="1">
      <alignment horizontal="left"/>
    </xf>
    <xf numFmtId="0" fontId="2" fillId="4" borderId="19" xfId="0" applyFont="1" applyFill="1" applyBorder="1" applyAlignment="1">
      <alignment horizontal="left"/>
    </xf>
    <xf numFmtId="0" fontId="2" fillId="4" borderId="17" xfId="0" applyFont="1" applyFill="1" applyBorder="1" applyAlignment="1">
      <alignment horizontal="left"/>
    </xf>
    <xf numFmtId="0" fontId="6" fillId="4" borderId="17" xfId="0" applyFont="1" applyFill="1" applyBorder="1" applyAlignment="1">
      <alignment horizontal="left"/>
    </xf>
    <xf numFmtId="0" fontId="2" fillId="4" borderId="17" xfId="0" applyFont="1" applyFill="1" applyBorder="1"/>
    <xf numFmtId="166" fontId="2" fillId="4" borderId="17" xfId="0" applyNumberFormat="1" applyFont="1" applyFill="1" applyBorder="1"/>
    <xf numFmtId="0" fontId="2" fillId="4" borderId="18" xfId="0" applyFont="1" applyFill="1" applyBorder="1" applyAlignment="1">
      <alignment vertical="top"/>
    </xf>
    <xf numFmtId="0" fontId="6" fillId="4" borderId="18" xfId="0" applyFont="1" applyFill="1" applyBorder="1" applyAlignment="1">
      <alignment vertical="top"/>
    </xf>
    <xf numFmtId="166" fontId="2" fillId="4" borderId="19" xfId="0" applyNumberFormat="1" applyFont="1" applyFill="1" applyBorder="1"/>
    <xf numFmtId="0" fontId="6" fillId="4" borderId="17" xfId="0" applyFont="1" applyFill="1" applyBorder="1"/>
    <xf numFmtId="0" fontId="2" fillId="4" borderId="19" xfId="0" applyFont="1" applyFill="1" applyBorder="1" applyAlignment="1">
      <alignment vertical="top"/>
    </xf>
    <xf numFmtId="0" fontId="2" fillId="4" borderId="35" xfId="0" applyFont="1" applyFill="1" applyBorder="1"/>
    <xf numFmtId="164" fontId="10" fillId="4" borderId="11" xfId="0" applyNumberFormat="1" applyFont="1" applyFill="1" applyBorder="1" applyAlignment="1">
      <alignment horizontal="center"/>
    </xf>
    <xf numFmtId="0" fontId="6" fillId="3" borderId="2" xfId="0" applyFont="1" applyFill="1" applyBorder="1" applyAlignment="1">
      <alignment horizontal="center"/>
    </xf>
    <xf numFmtId="49" fontId="6" fillId="3" borderId="2" xfId="0" applyNumberFormat="1" applyFont="1" applyFill="1" applyBorder="1" applyAlignment="1">
      <alignment horizontal="center"/>
    </xf>
    <xf numFmtId="9" fontId="2" fillId="2" borderId="3" xfId="0" applyNumberFormat="1" applyFont="1" applyFill="1" applyBorder="1" applyAlignment="1">
      <alignment horizontal="center"/>
    </xf>
    <xf numFmtId="49" fontId="2" fillId="2" borderId="10" xfId="0" applyNumberFormat="1" applyFont="1" applyFill="1" applyBorder="1" applyAlignment="1">
      <alignment horizontal="center" vertical="center"/>
    </xf>
    <xf numFmtId="49" fontId="2" fillId="3" borderId="11" xfId="0" applyNumberFormat="1" applyFont="1" applyFill="1" applyBorder="1" applyAlignment="1">
      <alignment horizontal="center"/>
    </xf>
    <xf numFmtId="166" fontId="2" fillId="2" borderId="11" xfId="0" quotePrefix="1" applyNumberFormat="1" applyFont="1" applyFill="1" applyBorder="1" applyAlignment="1">
      <alignment horizontal="center"/>
    </xf>
    <xf numFmtId="49" fontId="2" fillId="2" borderId="16" xfId="0" applyNumberFormat="1" applyFont="1" applyFill="1" applyBorder="1" applyAlignment="1">
      <alignment horizontal="center" vertical="center"/>
    </xf>
    <xf numFmtId="164" fontId="2" fillId="2" borderId="23" xfId="0" applyNumberFormat="1" applyFont="1" applyFill="1" applyBorder="1" applyAlignment="1">
      <alignment horizontal="center"/>
    </xf>
    <xf numFmtId="166" fontId="2" fillId="2" borderId="27" xfId="0" applyNumberFormat="1" applyFont="1" applyFill="1" applyBorder="1" applyAlignment="1">
      <alignment horizontal="center"/>
    </xf>
    <xf numFmtId="6" fontId="2" fillId="2" borderId="25" xfId="0" applyNumberFormat="1" applyFont="1" applyFill="1" applyBorder="1" applyAlignment="1">
      <alignment horizontal="center"/>
    </xf>
    <xf numFmtId="6" fontId="2" fillId="2" borderId="22" xfId="0" applyNumberFormat="1" applyFont="1" applyFill="1" applyBorder="1" applyAlignment="1">
      <alignment horizontal="center"/>
    </xf>
    <xf numFmtId="9" fontId="2" fillId="2" borderId="23" xfId="0" applyNumberFormat="1" applyFont="1" applyFill="1" applyBorder="1" applyAlignment="1">
      <alignment horizontal="center"/>
    </xf>
    <xf numFmtId="9" fontId="2" fillId="3" borderId="23" xfId="0" applyNumberFormat="1" applyFont="1" applyFill="1" applyBorder="1" applyAlignment="1">
      <alignment horizontal="center"/>
    </xf>
    <xf numFmtId="49" fontId="2" fillId="2" borderId="23" xfId="0" applyNumberFormat="1" applyFont="1" applyFill="1" applyBorder="1" applyAlignment="1">
      <alignment horizontal="center"/>
    </xf>
    <xf numFmtId="49" fontId="2" fillId="2" borderId="23" xfId="0" applyNumberFormat="1" applyFont="1" applyFill="1" applyBorder="1" applyAlignment="1">
      <alignment horizontal="center" vertical="center"/>
    </xf>
    <xf numFmtId="49" fontId="2" fillId="3" borderId="23" xfId="0" applyNumberFormat="1" applyFont="1" applyFill="1" applyBorder="1" applyAlignment="1">
      <alignment horizontal="center" vertical="center"/>
    </xf>
    <xf numFmtId="166" fontId="2" fillId="3" borderId="25" xfId="0" applyNumberFormat="1" applyFont="1" applyFill="1" applyBorder="1" applyAlignment="1">
      <alignment horizontal="center"/>
    </xf>
    <xf numFmtId="49" fontId="9" fillId="3" borderId="25" xfId="0" applyNumberFormat="1" applyFont="1" applyFill="1" applyBorder="1" applyAlignment="1">
      <alignment horizontal="center"/>
    </xf>
    <xf numFmtId="166" fontId="2" fillId="2" borderId="25" xfId="0" applyNumberFormat="1" applyFont="1" applyFill="1" applyBorder="1" applyAlignment="1">
      <alignment horizontal="center"/>
    </xf>
    <xf numFmtId="49" fontId="8" fillId="3" borderId="23" xfId="0" applyNumberFormat="1" applyFont="1" applyFill="1" applyBorder="1" applyAlignment="1">
      <alignment horizontal="center"/>
    </xf>
    <xf numFmtId="49" fontId="2" fillId="0" borderId="23" xfId="0" applyNumberFormat="1" applyFont="1" applyBorder="1" applyAlignment="1">
      <alignment horizontal="center"/>
    </xf>
    <xf numFmtId="166" fontId="2" fillId="3" borderId="23" xfId="0" applyNumberFormat="1" applyFont="1" applyFill="1" applyBorder="1" applyAlignment="1">
      <alignment horizontal="center"/>
    </xf>
    <xf numFmtId="6" fontId="2" fillId="2" borderId="27" xfId="0" applyNumberFormat="1" applyFont="1" applyFill="1" applyBorder="1" applyAlignment="1">
      <alignment horizontal="center"/>
    </xf>
    <xf numFmtId="166" fontId="2" fillId="2" borderId="31" xfId="0" applyNumberFormat="1" applyFont="1" applyFill="1" applyBorder="1" applyAlignment="1">
      <alignment horizontal="center"/>
    </xf>
    <xf numFmtId="166" fontId="2" fillId="2" borderId="17" xfId="0" quotePrefix="1" applyNumberFormat="1" applyFont="1" applyFill="1" applyBorder="1" applyAlignment="1">
      <alignment horizontal="center"/>
    </xf>
    <xf numFmtId="166" fontId="2" fillId="0" borderId="19" xfId="0" applyNumberFormat="1" applyFont="1" applyBorder="1" applyAlignment="1">
      <alignment horizontal="center"/>
    </xf>
    <xf numFmtId="166" fontId="3" fillId="8" borderId="34" xfId="0" applyNumberFormat="1" applyFont="1" applyFill="1" applyBorder="1"/>
    <xf numFmtId="166" fontId="0" fillId="0" borderId="0" xfId="0" applyNumberFormat="1"/>
    <xf numFmtId="164" fontId="1" fillId="0" borderId="0" xfId="0" applyNumberFormat="1" applyFont="1"/>
    <xf numFmtId="166" fontId="4" fillId="0" borderId="49" xfId="0" applyNumberFormat="1" applyFont="1" applyBorder="1" applyAlignment="1">
      <alignment horizontal="right"/>
    </xf>
    <xf numFmtId="164" fontId="1" fillId="0" borderId="52" xfId="0" applyNumberFormat="1" applyFont="1" applyBorder="1" applyAlignment="1">
      <alignment horizontal="right"/>
    </xf>
    <xf numFmtId="164" fontId="1" fillId="0" borderId="0" xfId="0" applyNumberFormat="1" applyFont="1" applyAlignment="1">
      <alignment horizontal="right"/>
    </xf>
    <xf numFmtId="0" fontId="3" fillId="0" borderId="19" xfId="0" applyFont="1" applyBorder="1"/>
    <xf numFmtId="164" fontId="1" fillId="0" borderId="19" xfId="0" applyNumberFormat="1" applyFont="1" applyBorder="1" applyAlignment="1">
      <alignment horizontal="right"/>
    </xf>
    <xf numFmtId="164" fontId="3" fillId="0" borderId="19" xfId="0" applyNumberFormat="1" applyFont="1" applyBorder="1" applyAlignment="1">
      <alignment horizontal="right"/>
    </xf>
    <xf numFmtId="0" fontId="13" fillId="6" borderId="21" xfId="0" applyFont="1" applyFill="1" applyBorder="1" applyAlignment="1">
      <alignment horizontal="center" vertical="center" wrapText="1"/>
    </xf>
    <xf numFmtId="0" fontId="13" fillId="6" borderId="17" xfId="0" applyFont="1" applyFill="1" applyBorder="1" applyAlignment="1">
      <alignment horizontal="center" vertical="center" wrapText="1"/>
    </xf>
    <xf numFmtId="3" fontId="4" fillId="0" borderId="18" xfId="0" applyNumberFormat="1" applyFont="1" applyBorder="1" applyAlignment="1">
      <alignment horizontal="center"/>
    </xf>
    <xf numFmtId="16" fontId="3" fillId="0" borderId="19" xfId="0" applyNumberFormat="1" applyFont="1" applyBorder="1" applyAlignment="1">
      <alignment horizontal="center"/>
    </xf>
    <xf numFmtId="3" fontId="3" fillId="0" borderId="19" xfId="0" applyNumberFormat="1" applyFont="1" applyBorder="1" applyAlignment="1">
      <alignment horizontal="center"/>
    </xf>
    <xf numFmtId="164" fontId="3" fillId="0" borderId="19" xfId="0" applyNumberFormat="1" applyFont="1" applyBorder="1"/>
    <xf numFmtId="166" fontId="3" fillId="0" borderId="59" xfId="0" applyNumberFormat="1" applyFont="1" applyBorder="1"/>
    <xf numFmtId="4" fontId="1" fillId="0" borderId="19" xfId="0" applyNumberFormat="1" applyFont="1" applyBorder="1" applyAlignment="1">
      <alignment horizontal="right"/>
    </xf>
    <xf numFmtId="166" fontId="4" fillId="0" borderId="19" xfId="0" applyNumberFormat="1" applyFont="1" applyBorder="1" applyAlignment="1">
      <alignment horizontal="right"/>
    </xf>
    <xf numFmtId="166" fontId="4" fillId="0" borderId="63" xfId="0" applyNumberFormat="1" applyFont="1" applyBorder="1" applyAlignment="1">
      <alignment horizontal="right"/>
    </xf>
    <xf numFmtId="164" fontId="1" fillId="2" borderId="19" xfId="0" applyNumberFormat="1" applyFont="1" applyFill="1" applyBorder="1" applyAlignment="1">
      <alignment horizontal="right"/>
    </xf>
    <xf numFmtId="166" fontId="5" fillId="0" borderId="19" xfId="0" applyNumberFormat="1" applyFont="1" applyBorder="1"/>
    <xf numFmtId="166" fontId="5" fillId="0" borderId="59" xfId="0" applyNumberFormat="1" applyFont="1" applyBorder="1" applyAlignment="1">
      <alignment horizontal="right"/>
    </xf>
    <xf numFmtId="10" fontId="5" fillId="0" borderId="59" xfId="0" applyNumberFormat="1" applyFont="1" applyBorder="1" applyAlignment="1">
      <alignment horizontal="right"/>
    </xf>
    <xf numFmtId="166" fontId="5" fillId="0" borderId="35" xfId="0" applyNumberFormat="1" applyFont="1" applyBorder="1" applyAlignment="1">
      <alignment horizontal="right"/>
    </xf>
    <xf numFmtId="3" fontId="4" fillId="0" borderId="62" xfId="0" applyNumberFormat="1" applyFont="1" applyBorder="1" applyAlignment="1">
      <alignment horizontal="center"/>
    </xf>
    <xf numFmtId="4" fontId="1" fillId="0" borderId="52" xfId="0" applyNumberFormat="1" applyFont="1" applyBorder="1" applyAlignment="1">
      <alignment horizontal="right"/>
    </xf>
    <xf numFmtId="166" fontId="4" fillId="0" borderId="55" xfId="0" applyNumberFormat="1" applyFont="1" applyBorder="1"/>
    <xf numFmtId="164" fontId="1" fillId="2" borderId="52" xfId="0" applyNumberFormat="1" applyFont="1" applyFill="1" applyBorder="1" applyAlignment="1">
      <alignment horizontal="right"/>
    </xf>
    <xf numFmtId="166" fontId="3" fillId="8" borderId="58" xfId="0" applyNumberFormat="1" applyFont="1" applyFill="1" applyBorder="1"/>
    <xf numFmtId="10" fontId="5" fillId="0" borderId="55" xfId="0" applyNumberFormat="1" applyFont="1" applyBorder="1"/>
    <xf numFmtId="166" fontId="5" fillId="0" borderId="58" xfId="0" applyNumberFormat="1" applyFont="1" applyBorder="1"/>
    <xf numFmtId="164" fontId="1" fillId="2" borderId="64" xfId="0" applyNumberFormat="1" applyFont="1" applyFill="1" applyBorder="1" applyAlignment="1">
      <alignment horizontal="right"/>
    </xf>
    <xf numFmtId="166" fontId="3" fillId="0" borderId="64" xfId="0" applyNumberFormat="1" applyFont="1" applyBorder="1"/>
    <xf numFmtId="164" fontId="4" fillId="9" borderId="19" xfId="0" applyNumberFormat="1" applyFont="1" applyFill="1" applyBorder="1"/>
    <xf numFmtId="166" fontId="4" fillId="0" borderId="0" xfId="0" applyNumberFormat="1" applyFont="1"/>
    <xf numFmtId="165" fontId="1" fillId="0" borderId="0" xfId="0" applyNumberFormat="1" applyFont="1"/>
    <xf numFmtId="0" fontId="0" fillId="0" borderId="65" xfId="0" applyBorder="1"/>
    <xf numFmtId="3" fontId="4" fillId="0" borderId="2" xfId="0" applyNumberFormat="1" applyFont="1" applyBorder="1" applyAlignment="1">
      <alignment horizontal="center"/>
    </xf>
    <xf numFmtId="4" fontId="1" fillId="0" borderId="3" xfId="0" applyNumberFormat="1" applyFont="1" applyBorder="1" applyAlignment="1">
      <alignment horizontal="right"/>
    </xf>
    <xf numFmtId="164" fontId="4" fillId="9" borderId="3" xfId="0" applyNumberFormat="1" applyFont="1" applyFill="1" applyBorder="1"/>
    <xf numFmtId="166" fontId="4" fillId="0" borderId="9" xfId="0" applyNumberFormat="1" applyFont="1" applyBorder="1" applyAlignment="1">
      <alignment horizontal="right"/>
    </xf>
    <xf numFmtId="164" fontId="1" fillId="2" borderId="3" xfId="0" applyNumberFormat="1" applyFont="1" applyFill="1" applyBorder="1" applyAlignment="1">
      <alignment horizontal="right"/>
    </xf>
    <xf numFmtId="164" fontId="1" fillId="0" borderId="3" xfId="0" applyNumberFormat="1" applyFont="1" applyBorder="1" applyAlignment="1">
      <alignment horizontal="right"/>
    </xf>
    <xf numFmtId="0" fontId="13" fillId="6" borderId="39" xfId="0" applyFont="1" applyFill="1" applyBorder="1" applyAlignment="1">
      <alignment horizontal="center" vertical="center" wrapText="1"/>
    </xf>
    <xf numFmtId="0" fontId="13" fillId="6" borderId="37" xfId="0" applyFont="1" applyFill="1" applyBorder="1" applyAlignment="1">
      <alignment horizontal="center" vertical="center" wrapText="1"/>
    </xf>
    <xf numFmtId="3" fontId="4" fillId="0" borderId="66" xfId="0" applyNumberFormat="1" applyFont="1" applyBorder="1" applyAlignment="1">
      <alignment horizontal="center"/>
    </xf>
    <xf numFmtId="16" fontId="3" fillId="0" borderId="0" xfId="0" applyNumberFormat="1" applyFont="1" applyAlignment="1">
      <alignment horizontal="center"/>
    </xf>
    <xf numFmtId="3" fontId="3" fillId="0" borderId="0" xfId="0" applyNumberFormat="1" applyFont="1" applyAlignment="1">
      <alignment horizontal="center"/>
    </xf>
    <xf numFmtId="164" fontId="3" fillId="0" borderId="0" xfId="0" applyNumberFormat="1" applyFont="1"/>
    <xf numFmtId="166" fontId="3" fillId="0" borderId="0" xfId="0" applyNumberFormat="1" applyFont="1"/>
    <xf numFmtId="166" fontId="3" fillId="0" borderId="4" xfId="0" applyNumberFormat="1" applyFont="1" applyBorder="1"/>
    <xf numFmtId="4" fontId="1" fillId="0" borderId="0" xfId="0" applyNumberFormat="1" applyFont="1" applyAlignment="1">
      <alignment horizontal="right"/>
    </xf>
    <xf numFmtId="164" fontId="4" fillId="0" borderId="0" xfId="0" applyNumberFormat="1" applyFont="1"/>
    <xf numFmtId="166" fontId="4" fillId="0" borderId="4" xfId="0" applyNumberFormat="1" applyFont="1" applyBorder="1"/>
    <xf numFmtId="166" fontId="4" fillId="0" borderId="7" xfId="0" applyNumberFormat="1" applyFont="1" applyBorder="1"/>
    <xf numFmtId="164" fontId="1" fillId="2" borderId="0" xfId="0" applyNumberFormat="1" applyFont="1" applyFill="1" applyAlignment="1">
      <alignment horizontal="right"/>
    </xf>
    <xf numFmtId="10" fontId="5" fillId="0" borderId="4" xfId="0" applyNumberFormat="1" applyFont="1" applyBorder="1"/>
    <xf numFmtId="0" fontId="13" fillId="6" borderId="10" xfId="0" applyFont="1" applyFill="1" applyBorder="1" applyAlignment="1">
      <alignment horizontal="center" vertical="center" wrapText="1"/>
    </xf>
    <xf numFmtId="0" fontId="13" fillId="6" borderId="67" xfId="0" applyFont="1" applyFill="1" applyBorder="1" applyAlignment="1">
      <alignment horizontal="center" vertical="center" wrapText="1"/>
    </xf>
    <xf numFmtId="164" fontId="4" fillId="9" borderId="26" xfId="0" applyNumberFormat="1" applyFont="1" applyFill="1" applyBorder="1"/>
    <xf numFmtId="0" fontId="13" fillId="6" borderId="33" xfId="0" applyFont="1" applyFill="1" applyBorder="1" applyAlignment="1">
      <alignment horizontal="center" vertical="center" wrapText="1"/>
    </xf>
    <xf numFmtId="166" fontId="3" fillId="9" borderId="35" xfId="0" applyNumberFormat="1" applyFont="1" applyFill="1" applyBorder="1"/>
    <xf numFmtId="166" fontId="3" fillId="9" borderId="32" xfId="0" applyNumberFormat="1" applyFont="1" applyFill="1" applyBorder="1"/>
    <xf numFmtId="166" fontId="3" fillId="9" borderId="61" xfId="0" applyNumberFormat="1" applyFont="1" applyFill="1" applyBorder="1"/>
    <xf numFmtId="166" fontId="3" fillId="9" borderId="34" xfId="0" applyNumberFormat="1" applyFont="1" applyFill="1" applyBorder="1"/>
    <xf numFmtId="9" fontId="4" fillId="0" borderId="9" xfId="0" applyNumberFormat="1" applyFont="1" applyBorder="1" applyAlignment="1">
      <alignment horizontal="right"/>
    </xf>
    <xf numFmtId="166" fontId="2" fillId="9" borderId="27" xfId="0" applyNumberFormat="1" applyFont="1" applyFill="1" applyBorder="1" applyAlignment="1">
      <alignment horizontal="center"/>
    </xf>
    <xf numFmtId="166" fontId="2" fillId="9" borderId="3" xfId="0" applyNumberFormat="1" applyFont="1" applyFill="1" applyBorder="1" applyAlignment="1">
      <alignment horizontal="center"/>
    </xf>
    <xf numFmtId="6" fontId="19" fillId="2" borderId="2" xfId="0" applyNumberFormat="1" applyFont="1" applyFill="1" applyBorder="1" applyAlignment="1">
      <alignment horizontal="center"/>
    </xf>
    <xf numFmtId="6" fontId="19" fillId="2" borderId="10" xfId="0" applyNumberFormat="1" applyFont="1" applyFill="1" applyBorder="1" applyAlignment="1">
      <alignment horizontal="center"/>
    </xf>
    <xf numFmtId="166" fontId="19" fillId="2" borderId="3" xfId="0" applyNumberFormat="1" applyFont="1" applyFill="1" applyBorder="1" applyAlignment="1">
      <alignment horizontal="center"/>
    </xf>
    <xf numFmtId="166" fontId="19" fillId="2" borderId="19" xfId="0" applyNumberFormat="1" applyFont="1" applyFill="1" applyBorder="1" applyAlignment="1">
      <alignment horizontal="center"/>
    </xf>
    <xf numFmtId="9" fontId="19" fillId="2" borderId="11" xfId="0" applyNumberFormat="1" applyFont="1" applyFill="1" applyBorder="1" applyAlignment="1">
      <alignment horizontal="center"/>
    </xf>
    <xf numFmtId="9" fontId="19" fillId="3" borderId="11" xfId="0" applyNumberFormat="1" applyFont="1" applyFill="1" applyBorder="1" applyAlignment="1">
      <alignment horizontal="center"/>
    </xf>
    <xf numFmtId="166" fontId="19" fillId="2" borderId="32" xfId="0" applyNumberFormat="1" applyFont="1" applyFill="1" applyBorder="1" applyAlignment="1">
      <alignment horizontal="center"/>
    </xf>
    <xf numFmtId="165" fontId="4" fillId="0" borderId="57" xfId="0" applyNumberFormat="1" applyFont="1" applyBorder="1"/>
    <xf numFmtId="0" fontId="1" fillId="0" borderId="44" xfId="0" applyFont="1" applyBorder="1"/>
    <xf numFmtId="0" fontId="4" fillId="0" borderId="44" xfId="0" applyFont="1" applyBorder="1"/>
    <xf numFmtId="166" fontId="13" fillId="6" borderId="17" xfId="0" applyNumberFormat="1" applyFont="1" applyFill="1" applyBorder="1" applyAlignment="1">
      <alignment horizontal="center" vertical="center" wrapText="1"/>
    </xf>
    <xf numFmtId="166" fontId="13" fillId="6" borderId="11" xfId="0" applyNumberFormat="1" applyFont="1" applyFill="1" applyBorder="1" applyAlignment="1">
      <alignment horizontal="center" vertical="center" wrapText="1"/>
    </xf>
    <xf numFmtId="166" fontId="13" fillId="6" borderId="37" xfId="0" applyNumberFormat="1" applyFont="1" applyFill="1" applyBorder="1" applyAlignment="1">
      <alignment horizontal="center" vertical="center" wrapText="1"/>
    </xf>
    <xf numFmtId="166" fontId="13" fillId="6" borderId="24" xfId="0" applyNumberFormat="1" applyFont="1" applyFill="1" applyBorder="1" applyAlignment="1">
      <alignment horizontal="center" vertical="center" wrapText="1"/>
    </xf>
    <xf numFmtId="164" fontId="4" fillId="0" borderId="19" xfId="0" applyNumberFormat="1" applyFont="1" applyBorder="1" applyAlignment="1">
      <alignment horizontal="right"/>
    </xf>
    <xf numFmtId="164" fontId="4" fillId="0" borderId="3" xfId="0" applyNumberFormat="1" applyFont="1" applyBorder="1" applyAlignment="1">
      <alignment horizontal="right"/>
    </xf>
    <xf numFmtId="164" fontId="4" fillId="0" borderId="0" xfId="0" applyNumberFormat="1" applyFont="1" applyAlignment="1">
      <alignment horizontal="right"/>
    </xf>
    <xf numFmtId="164" fontId="4" fillId="0" borderId="26" xfId="0" applyNumberFormat="1" applyFont="1" applyBorder="1" applyAlignment="1">
      <alignment horizontal="right"/>
    </xf>
    <xf numFmtId="4" fontId="4" fillId="0" borderId="19" xfId="0" applyNumberFormat="1" applyFont="1" applyBorder="1" applyAlignment="1">
      <alignment horizontal="right"/>
    </xf>
    <xf numFmtId="4" fontId="4" fillId="0" borderId="3" xfId="0" applyNumberFormat="1" applyFont="1" applyBorder="1" applyAlignment="1">
      <alignment horizontal="right"/>
    </xf>
    <xf numFmtId="4" fontId="4" fillId="0" borderId="0" xfId="0" applyNumberFormat="1" applyFont="1" applyAlignment="1">
      <alignment horizontal="right"/>
    </xf>
    <xf numFmtId="4" fontId="4" fillId="0" borderId="26" xfId="0" applyNumberFormat="1" applyFont="1" applyBorder="1" applyAlignment="1">
      <alignment horizontal="right"/>
    </xf>
    <xf numFmtId="164" fontId="4" fillId="2" borderId="19" xfId="0" applyNumberFormat="1" applyFont="1" applyFill="1" applyBorder="1" applyAlignment="1">
      <alignment horizontal="right"/>
    </xf>
    <xf numFmtId="164" fontId="4" fillId="2" borderId="3" xfId="0" applyNumberFormat="1" applyFont="1" applyFill="1" applyBorder="1" applyAlignment="1">
      <alignment horizontal="right"/>
    </xf>
    <xf numFmtId="164" fontId="4" fillId="2" borderId="0" xfId="0" applyNumberFormat="1" applyFont="1" applyFill="1" applyAlignment="1">
      <alignment horizontal="right"/>
    </xf>
    <xf numFmtId="164" fontId="4" fillId="2" borderId="26" xfId="0" applyNumberFormat="1" applyFont="1" applyFill="1" applyBorder="1" applyAlignment="1">
      <alignment horizontal="right"/>
    </xf>
    <xf numFmtId="0" fontId="1" fillId="0" borderId="65" xfId="0" applyFont="1" applyBorder="1"/>
    <xf numFmtId="0" fontId="1" fillId="0" borderId="1" xfId="0" applyFont="1" applyBorder="1" applyAlignment="1">
      <alignment horizontal="center"/>
    </xf>
    <xf numFmtId="16" fontId="1" fillId="0" borderId="3" xfId="0" applyNumberFormat="1" applyFont="1" applyBorder="1" applyAlignment="1">
      <alignment horizontal="center"/>
    </xf>
    <xf numFmtId="16" fontId="1" fillId="0" borderId="52" xfId="0" applyNumberFormat="1" applyFont="1" applyBorder="1" applyAlignment="1">
      <alignment horizontal="center"/>
    </xf>
    <xf numFmtId="16" fontId="1" fillId="0" borderId="1" xfId="0" applyNumberFormat="1" applyFont="1" applyBorder="1" applyAlignment="1">
      <alignment horizontal="center"/>
    </xf>
    <xf numFmtId="16" fontId="1" fillId="0" borderId="19" xfId="0" applyNumberFormat="1" applyFont="1" applyBorder="1" applyAlignment="1">
      <alignment horizontal="center"/>
    </xf>
    <xf numFmtId="16" fontId="1" fillId="0" borderId="0" xfId="0" applyNumberFormat="1" applyFont="1" applyAlignment="1">
      <alignment horizontal="center"/>
    </xf>
    <xf numFmtId="16" fontId="1" fillId="0" borderId="26" xfId="0" applyNumberFormat="1" applyFont="1" applyBorder="1" applyAlignment="1">
      <alignment horizontal="center"/>
    </xf>
    <xf numFmtId="3" fontId="1" fillId="0" borderId="3" xfId="0" applyNumberFormat="1" applyFont="1" applyBorder="1" applyAlignment="1">
      <alignment horizontal="center"/>
    </xf>
    <xf numFmtId="3" fontId="1" fillId="0" borderId="52" xfId="0" applyNumberFormat="1" applyFont="1" applyBorder="1" applyAlignment="1">
      <alignment horizontal="center"/>
    </xf>
    <xf numFmtId="3" fontId="1" fillId="7" borderId="1" xfId="0" applyNumberFormat="1" applyFont="1" applyFill="1" applyBorder="1" applyAlignment="1">
      <alignment horizontal="center"/>
    </xf>
    <xf numFmtId="3" fontId="1" fillId="7" borderId="3" xfId="0" applyNumberFormat="1" applyFont="1" applyFill="1" applyBorder="1" applyAlignment="1">
      <alignment horizontal="center"/>
    </xf>
    <xf numFmtId="3" fontId="1" fillId="0" borderId="19" xfId="0" applyNumberFormat="1" applyFont="1" applyBorder="1" applyAlignment="1">
      <alignment horizontal="center"/>
    </xf>
    <xf numFmtId="3" fontId="1" fillId="0" borderId="0" xfId="0" applyNumberFormat="1" applyFont="1" applyAlignment="1">
      <alignment horizontal="center"/>
    </xf>
    <xf numFmtId="3" fontId="1" fillId="0" borderId="26" xfId="0" applyNumberFormat="1" applyFont="1" applyBorder="1" applyAlignment="1">
      <alignment horizontal="center"/>
    </xf>
    <xf numFmtId="164" fontId="1" fillId="0" borderId="3" xfId="0" applyNumberFormat="1" applyFont="1" applyBorder="1"/>
    <xf numFmtId="164" fontId="1" fillId="5" borderId="3" xfId="0" applyNumberFormat="1" applyFont="1" applyFill="1" applyBorder="1"/>
    <xf numFmtId="164" fontId="1" fillId="2" borderId="3" xfId="0" applyNumberFormat="1" applyFont="1" applyFill="1" applyBorder="1"/>
    <xf numFmtId="164" fontId="1" fillId="0" borderId="52" xfId="0" applyNumberFormat="1" applyFont="1" applyBorder="1"/>
    <xf numFmtId="164" fontId="1" fillId="0" borderId="1" xfId="0" applyNumberFormat="1" applyFont="1" applyBorder="1"/>
    <xf numFmtId="164" fontId="1" fillId="0" borderId="19" xfId="0" applyNumberFormat="1" applyFont="1" applyBorder="1"/>
    <xf numFmtId="164" fontId="1" fillId="0" borderId="26" xfId="0" applyNumberFormat="1" applyFont="1" applyBorder="1"/>
    <xf numFmtId="0" fontId="1" fillId="0" borderId="3" xfId="0" applyFont="1" applyBorder="1"/>
    <xf numFmtId="0" fontId="1" fillId="0" borderId="52" xfId="0" applyFont="1" applyBorder="1"/>
    <xf numFmtId="0" fontId="1" fillId="0" borderId="1" xfId="0" applyFont="1" applyBorder="1"/>
    <xf numFmtId="0" fontId="1" fillId="0" borderId="19" xfId="0" applyFont="1" applyBorder="1"/>
    <xf numFmtId="166" fontId="1" fillId="0" borderId="26" xfId="0" applyNumberFormat="1" applyFont="1" applyBorder="1"/>
    <xf numFmtId="166" fontId="1" fillId="0" borderId="3" xfId="0" applyNumberFormat="1" applyFont="1" applyBorder="1"/>
    <xf numFmtId="166" fontId="1" fillId="0" borderId="19" xfId="0" applyNumberFormat="1" applyFont="1" applyBorder="1"/>
    <xf numFmtId="166" fontId="1" fillId="0" borderId="0" xfId="0" applyNumberFormat="1" applyFont="1"/>
    <xf numFmtId="0" fontId="1" fillId="0" borderId="4" xfId="0" applyFont="1" applyBorder="1"/>
    <xf numFmtId="0" fontId="1" fillId="0" borderId="5" xfId="0" applyFont="1" applyBorder="1" applyAlignment="1">
      <alignment horizontal="center"/>
    </xf>
    <xf numFmtId="166" fontId="1" fillId="0" borderId="6" xfId="0" applyNumberFormat="1" applyFont="1" applyBorder="1"/>
    <xf numFmtId="166" fontId="1" fillId="0" borderId="55" xfId="0" applyNumberFormat="1" applyFont="1" applyBorder="1"/>
    <xf numFmtId="166" fontId="1" fillId="0" borderId="5" xfId="0" applyNumberFormat="1" applyFont="1" applyBorder="1"/>
    <xf numFmtId="4" fontId="1" fillId="0" borderId="3" xfId="0" applyNumberFormat="1" applyFont="1" applyBorder="1"/>
    <xf numFmtId="164" fontId="1" fillId="0" borderId="1" xfId="0" applyNumberFormat="1" applyFont="1" applyBorder="1" applyAlignment="1">
      <alignment horizontal="right"/>
    </xf>
    <xf numFmtId="0" fontId="1" fillId="0" borderId="0" xfId="0" applyFont="1" applyAlignment="1">
      <alignment horizontal="center"/>
    </xf>
    <xf numFmtId="166" fontId="1" fillId="0" borderId="52" xfId="0" applyNumberFormat="1" applyFont="1" applyBorder="1"/>
    <xf numFmtId="166" fontId="1" fillId="0" borderId="1" xfId="0" applyNumberFormat="1" applyFont="1" applyBorder="1"/>
    <xf numFmtId="166" fontId="4" fillId="0" borderId="5" xfId="0" applyNumberFormat="1" applyFont="1" applyBorder="1"/>
    <xf numFmtId="0" fontId="1" fillId="0" borderId="61" xfId="0" applyFont="1" applyBorder="1"/>
    <xf numFmtId="10" fontId="4" fillId="0" borderId="58" xfId="0" applyNumberFormat="1" applyFont="1" applyBorder="1"/>
    <xf numFmtId="166" fontId="4" fillId="0" borderId="32" xfId="0" applyNumberFormat="1" applyFont="1" applyBorder="1"/>
    <xf numFmtId="166" fontId="4" fillId="0" borderId="61" xfId="0" applyNumberFormat="1" applyFont="1" applyBorder="1"/>
    <xf numFmtId="166" fontId="4" fillId="0" borderId="34" xfId="0" applyNumberFormat="1" applyFont="1" applyBorder="1"/>
    <xf numFmtId="166" fontId="4" fillId="0" borderId="70" xfId="0" applyNumberFormat="1" applyFont="1" applyBorder="1"/>
    <xf numFmtId="166" fontId="4" fillId="0" borderId="71" xfId="0" applyNumberFormat="1" applyFont="1" applyBorder="1"/>
    <xf numFmtId="166" fontId="4" fillId="0" borderId="72" xfId="0" applyNumberFormat="1" applyFont="1" applyBorder="1"/>
    <xf numFmtId="10" fontId="5" fillId="0" borderId="73" xfId="0" applyNumberFormat="1" applyFont="1" applyBorder="1" applyAlignment="1">
      <alignment horizontal="center"/>
    </xf>
    <xf numFmtId="10" fontId="5" fillId="0" borderId="71" xfId="0" applyNumberFormat="1" applyFont="1" applyBorder="1"/>
    <xf numFmtId="10" fontId="5" fillId="0" borderId="71" xfId="0" applyNumberFormat="1" applyFont="1" applyBorder="1" applyAlignment="1">
      <alignment horizontal="right"/>
    </xf>
    <xf numFmtId="10" fontId="5" fillId="0" borderId="74" xfId="0" applyNumberFormat="1" applyFont="1" applyBorder="1"/>
    <xf numFmtId="10" fontId="5" fillId="0" borderId="73" xfId="0" applyNumberFormat="1" applyFont="1" applyBorder="1"/>
    <xf numFmtId="0" fontId="0" fillId="0" borderId="70" xfId="0" applyBorder="1"/>
    <xf numFmtId="10" fontId="5" fillId="0" borderId="75" xfId="0" applyNumberFormat="1" applyFont="1" applyBorder="1" applyAlignment="1">
      <alignment horizontal="right"/>
    </xf>
    <xf numFmtId="165" fontId="4" fillId="0" borderId="71" xfId="0" applyNumberFormat="1" applyFont="1" applyBorder="1"/>
    <xf numFmtId="165" fontId="4" fillId="0" borderId="70" xfId="0" applyNumberFormat="1" applyFont="1" applyBorder="1"/>
    <xf numFmtId="165" fontId="4" fillId="0" borderId="72" xfId="0" applyNumberFormat="1" applyFont="1" applyBorder="1"/>
    <xf numFmtId="166" fontId="5" fillId="0" borderId="71" xfId="0" applyNumberFormat="1" applyFont="1" applyBorder="1"/>
    <xf numFmtId="166" fontId="5" fillId="0" borderId="71" xfId="0" applyNumberFormat="1" applyFont="1" applyBorder="1" applyAlignment="1">
      <alignment horizontal="right"/>
    </xf>
    <xf numFmtId="166" fontId="5" fillId="0" borderId="75" xfId="0" applyNumberFormat="1" applyFont="1" applyBorder="1" applyAlignment="1">
      <alignment horizontal="right"/>
    </xf>
    <xf numFmtId="0" fontId="13" fillId="6" borderId="76" xfId="0" applyFont="1" applyFill="1" applyBorder="1" applyAlignment="1">
      <alignment horizontal="left" vertical="center" wrapText="1"/>
    </xf>
    <xf numFmtId="0" fontId="13" fillId="6" borderId="65" xfId="0" applyFont="1" applyFill="1" applyBorder="1" applyAlignment="1">
      <alignment horizontal="left" vertical="center" wrapText="1"/>
    </xf>
    <xf numFmtId="0" fontId="13" fillId="6" borderId="77" xfId="0" applyFont="1" applyFill="1" applyBorder="1" applyAlignment="1">
      <alignment horizontal="left" vertical="center" wrapText="1"/>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79" xfId="0" applyFont="1" applyFill="1" applyBorder="1" applyAlignment="1">
      <alignment horizontal="center" vertical="center" wrapText="1"/>
    </xf>
    <xf numFmtId="0" fontId="13" fillId="6" borderId="80" xfId="0" applyFont="1" applyFill="1" applyBorder="1" applyAlignment="1">
      <alignment horizontal="center" vertical="center" wrapText="1"/>
    </xf>
    <xf numFmtId="0" fontId="13" fillId="6" borderId="65" xfId="0" applyFont="1" applyFill="1" applyBorder="1" applyAlignment="1">
      <alignment horizontal="center" vertical="center" wrapText="1"/>
    </xf>
    <xf numFmtId="0" fontId="13" fillId="6" borderId="81" xfId="0" applyFont="1" applyFill="1" applyBorder="1" applyAlignment="1">
      <alignment horizontal="center" vertical="center" wrapText="1"/>
    </xf>
    <xf numFmtId="10" fontId="4" fillId="0" borderId="51" xfId="0" applyNumberFormat="1" applyFont="1" applyBorder="1" applyAlignment="1">
      <alignment horizontal="center"/>
    </xf>
    <xf numFmtId="10" fontId="4" fillId="0" borderId="32" xfId="0" applyNumberFormat="1" applyFont="1" applyBorder="1"/>
    <xf numFmtId="10" fontId="4" fillId="0" borderId="32" xfId="0" applyNumberFormat="1" applyFont="1" applyBorder="1" applyAlignment="1">
      <alignment horizontal="right"/>
    </xf>
    <xf numFmtId="10" fontId="4" fillId="0" borderId="51" xfId="0" applyNumberFormat="1" applyFont="1" applyBorder="1"/>
    <xf numFmtId="166" fontId="4" fillId="0" borderId="35" xfId="0" applyNumberFormat="1" applyFont="1" applyBorder="1" applyAlignment="1">
      <alignment horizontal="right"/>
    </xf>
    <xf numFmtId="166" fontId="1" fillId="0" borderId="6" xfId="0" applyNumberFormat="1" applyFont="1" applyBorder="1" applyAlignment="1">
      <alignment horizontal="right"/>
    </xf>
    <xf numFmtId="166" fontId="4" fillId="9" borderId="59" xfId="0" applyNumberFormat="1" applyFont="1" applyFill="1" applyBorder="1"/>
    <xf numFmtId="166" fontId="4" fillId="9" borderId="6" xfId="0" applyNumberFormat="1" applyFont="1" applyFill="1" applyBorder="1"/>
    <xf numFmtId="166" fontId="4" fillId="9" borderId="4" xfId="0" applyNumberFormat="1" applyFont="1" applyFill="1" applyBorder="1"/>
    <xf numFmtId="166" fontId="4" fillId="9" borderId="45" xfId="0" applyNumberFormat="1" applyFont="1" applyFill="1" applyBorder="1"/>
    <xf numFmtId="165" fontId="0" fillId="0" borderId="0" xfId="0" applyNumberFormat="1"/>
    <xf numFmtId="14" fontId="15" fillId="0" borderId="0" xfId="0" applyNumberFormat="1" applyFont="1" applyAlignment="1">
      <alignment horizontal="center"/>
    </xf>
    <xf numFmtId="164" fontId="1" fillId="9" borderId="26" xfId="0" applyNumberFormat="1" applyFont="1" applyFill="1" applyBorder="1" applyAlignment="1">
      <alignment horizontal="right"/>
    </xf>
    <xf numFmtId="166" fontId="3" fillId="9" borderId="26" xfId="0" applyNumberFormat="1" applyFont="1" applyFill="1" applyBorder="1"/>
    <xf numFmtId="166" fontId="3" fillId="8" borderId="68" xfId="0" applyNumberFormat="1" applyFont="1" applyFill="1" applyBorder="1"/>
    <xf numFmtId="166" fontId="2" fillId="0" borderId="0" xfId="0" applyNumberFormat="1" applyFont="1"/>
    <xf numFmtId="0" fontId="5" fillId="0" borderId="0" xfId="0" applyFont="1" applyAlignment="1">
      <alignment horizontal="center"/>
    </xf>
    <xf numFmtId="166" fontId="5" fillId="0" borderId="0" xfId="0" applyNumberFormat="1" applyFont="1" applyAlignment="1">
      <alignment horizontal="right"/>
    </xf>
    <xf numFmtId="166" fontId="5" fillId="8" borderId="0" xfId="0" applyNumberFormat="1" applyFont="1" applyFill="1"/>
    <xf numFmtId="0" fontId="22" fillId="0" borderId="11" xfId="0" applyFont="1" applyBorder="1" applyAlignment="1">
      <alignment horizontal="center" vertical="center" wrapText="1"/>
    </xf>
    <xf numFmtId="0" fontId="21" fillId="0" borderId="11" xfId="0" applyFont="1" applyBorder="1" applyAlignment="1">
      <alignment horizontal="center" vertical="center"/>
    </xf>
    <xf numFmtId="0" fontId="21" fillId="0" borderId="11" xfId="0" applyFont="1" applyBorder="1" applyAlignment="1">
      <alignment horizontal="center" vertical="center" wrapText="1"/>
    </xf>
    <xf numFmtId="0" fontId="22" fillId="0" borderId="11" xfId="0" applyFont="1" applyBorder="1" applyAlignment="1">
      <alignment horizontal="center" vertical="center"/>
    </xf>
    <xf numFmtId="0" fontId="17" fillId="0" borderId="11" xfId="0" applyFont="1" applyBorder="1" applyAlignment="1">
      <alignment horizontal="center" vertical="center" wrapText="1"/>
    </xf>
    <xf numFmtId="0" fontId="17" fillId="0" borderId="11" xfId="0" applyFont="1" applyBorder="1" applyAlignment="1">
      <alignment vertical="center" wrapText="1"/>
    </xf>
    <xf numFmtId="0" fontId="18" fillId="0" borderId="11" xfId="0" applyFont="1" applyBorder="1" applyAlignment="1">
      <alignment horizontal="center" vertical="center" wrapText="1"/>
    </xf>
    <xf numFmtId="0" fontId="17" fillId="10" borderId="11" xfId="0" applyFont="1" applyFill="1" applyBorder="1" applyAlignment="1">
      <alignment horizontal="center" vertical="center" wrapText="1"/>
    </xf>
    <xf numFmtId="0" fontId="17" fillId="11" borderId="11" xfId="0" applyFont="1" applyFill="1" applyBorder="1" applyAlignment="1">
      <alignment horizontal="center" vertical="center" wrapText="1"/>
    </xf>
    <xf numFmtId="6" fontId="17" fillId="0" borderId="11" xfId="0" applyNumberFormat="1" applyFont="1" applyBorder="1" applyAlignment="1">
      <alignment horizontal="center" vertical="center" wrapText="1"/>
    </xf>
    <xf numFmtId="0" fontId="18" fillId="10" borderId="11" xfId="0" applyFont="1" applyFill="1" applyBorder="1" applyAlignment="1">
      <alignment horizontal="center" vertical="center" wrapText="1"/>
    </xf>
    <xf numFmtId="6" fontId="17" fillId="10" borderId="11" xfId="0" applyNumberFormat="1" applyFont="1" applyFill="1" applyBorder="1" applyAlignment="1">
      <alignment horizontal="center" vertical="center" wrapText="1"/>
    </xf>
    <xf numFmtId="6" fontId="21" fillId="0" borderId="11" xfId="0" applyNumberFormat="1" applyFont="1" applyBorder="1" applyAlignment="1">
      <alignment horizontal="center" vertical="center"/>
    </xf>
    <xf numFmtId="8" fontId="21" fillId="0" borderId="11" xfId="0" applyNumberFormat="1" applyFont="1" applyBorder="1" applyAlignment="1">
      <alignment horizontal="center" vertical="center"/>
    </xf>
    <xf numFmtId="166" fontId="2" fillId="9" borderId="11" xfId="0" applyNumberFormat="1" applyFont="1" applyFill="1" applyBorder="1" applyAlignment="1">
      <alignment horizontal="center"/>
    </xf>
    <xf numFmtId="0" fontId="23" fillId="0" borderId="11" xfId="0" applyFont="1" applyBorder="1" applyAlignment="1">
      <alignment vertical="center" wrapText="1"/>
    </xf>
    <xf numFmtId="0" fontId="23" fillId="0" borderId="11" xfId="0" applyFont="1" applyBorder="1" applyAlignment="1">
      <alignment horizontal="center" vertical="center" wrapText="1"/>
    </xf>
    <xf numFmtId="0" fontId="24" fillId="0" borderId="11" xfId="0" applyFont="1" applyBorder="1" applyAlignment="1">
      <alignment horizontal="center" vertical="center" wrapText="1"/>
    </xf>
    <xf numFmtId="8" fontId="24" fillId="0" borderId="11" xfId="0" applyNumberFormat="1" applyFont="1" applyBorder="1" applyAlignment="1">
      <alignment horizontal="center" vertical="center" wrapText="1"/>
    </xf>
    <xf numFmtId="6" fontId="21" fillId="0" borderId="11" xfId="0" applyNumberFormat="1" applyFont="1" applyBorder="1" applyAlignment="1">
      <alignment horizontal="center" vertical="center" wrapText="1"/>
    </xf>
    <xf numFmtId="8" fontId="21" fillId="0" borderId="11" xfId="0" applyNumberFormat="1" applyFont="1" applyBorder="1" applyAlignment="1">
      <alignment horizontal="center" vertical="center" wrapText="1"/>
    </xf>
    <xf numFmtId="0" fontId="0" fillId="0" borderId="0" xfId="0" applyAlignment="1">
      <alignment horizontal="center"/>
    </xf>
    <xf numFmtId="0" fontId="2" fillId="0" borderId="0" xfId="0" applyFont="1" applyAlignment="1">
      <alignment horizontal="center"/>
    </xf>
    <xf numFmtId="8" fontId="24" fillId="0" borderId="11" xfId="0" applyNumberFormat="1" applyFont="1" applyBorder="1" applyAlignment="1">
      <alignment horizontal="center"/>
    </xf>
    <xf numFmtId="166" fontId="2" fillId="2" borderId="3" xfId="0" quotePrefix="1" applyNumberFormat="1" applyFont="1" applyFill="1" applyBorder="1" applyAlignment="1">
      <alignment horizontal="center"/>
    </xf>
    <xf numFmtId="6" fontId="2" fillId="2" borderId="17" xfId="0" applyNumberFormat="1" applyFont="1" applyFill="1" applyBorder="1" applyAlignment="1">
      <alignment horizontal="center"/>
    </xf>
    <xf numFmtId="0" fontId="25" fillId="0" borderId="0" xfId="0" applyFont="1"/>
    <xf numFmtId="0" fontId="25" fillId="0" borderId="0" xfId="0" applyFont="1" applyAlignment="1">
      <alignment horizontal="center"/>
    </xf>
    <xf numFmtId="0" fontId="24" fillId="0" borderId="11" xfId="0" applyFont="1" applyBorder="1" applyAlignment="1">
      <alignment vertical="center" wrapText="1"/>
    </xf>
    <xf numFmtId="0" fontId="23" fillId="0" borderId="11" xfId="0" applyFont="1" applyBorder="1" applyAlignment="1">
      <alignment horizontal="left" vertical="center" wrapText="1" indent="4"/>
    </xf>
    <xf numFmtId="10" fontId="24" fillId="0" borderId="11" xfId="0" applyNumberFormat="1" applyFont="1" applyBorder="1" applyAlignment="1">
      <alignment horizontal="right" vertical="center" wrapText="1"/>
    </xf>
    <xf numFmtId="49" fontId="2" fillId="2" borderId="3" xfId="0" applyNumberFormat="1" applyFont="1" applyFill="1" applyBorder="1" applyAlignment="1">
      <alignment horizontal="center" vertical="center"/>
    </xf>
    <xf numFmtId="164" fontId="10" fillId="4" borderId="17" xfId="0" applyNumberFormat="1" applyFont="1" applyFill="1" applyBorder="1" applyAlignment="1">
      <alignment horizontal="center"/>
    </xf>
    <xf numFmtId="166" fontId="2" fillId="2" borderId="17" xfId="0" applyNumberFormat="1" applyFont="1" applyFill="1" applyBorder="1" applyAlignment="1">
      <alignment horizontal="center"/>
    </xf>
    <xf numFmtId="6" fontId="2" fillId="2" borderId="18" xfId="0" applyNumberFormat="1" applyFont="1" applyFill="1" applyBorder="1" applyAlignment="1">
      <alignment horizontal="center"/>
    </xf>
    <xf numFmtId="166" fontId="19" fillId="2" borderId="35" xfId="0" applyNumberFormat="1" applyFont="1" applyFill="1" applyBorder="1" applyAlignment="1">
      <alignment horizontal="center"/>
    </xf>
    <xf numFmtId="166" fontId="2" fillId="9" borderId="17" xfId="0" applyNumberFormat="1" applyFont="1" applyFill="1" applyBorder="1" applyAlignment="1">
      <alignment horizontal="center"/>
    </xf>
    <xf numFmtId="6" fontId="18" fillId="0" borderId="11" xfId="0" applyNumberFormat="1" applyFont="1" applyBorder="1" applyAlignment="1">
      <alignment horizontal="center" vertical="center" wrapText="1"/>
    </xf>
    <xf numFmtId="10" fontId="24" fillId="0" borderId="11" xfId="0" applyNumberFormat="1" applyFont="1" applyBorder="1" applyAlignment="1">
      <alignment vertical="center" wrapText="1"/>
    </xf>
    <xf numFmtId="0" fontId="1" fillId="0" borderId="43" xfId="0" applyFont="1" applyBorder="1"/>
    <xf numFmtId="0" fontId="1" fillId="0" borderId="37" xfId="0" applyFont="1" applyBorder="1"/>
    <xf numFmtId="0" fontId="1" fillId="0" borderId="36" xfId="0" applyFont="1" applyBorder="1" applyAlignment="1">
      <alignment horizontal="center"/>
    </xf>
    <xf numFmtId="0" fontId="26" fillId="0" borderId="24" xfId="0" applyFont="1" applyBorder="1"/>
    <xf numFmtId="166" fontId="26" fillId="0" borderId="24" xfId="0" applyNumberFormat="1" applyFont="1" applyBorder="1" applyAlignment="1">
      <alignment horizontal="left"/>
    </xf>
    <xf numFmtId="0" fontId="1" fillId="0" borderId="29" xfId="0" applyFont="1" applyBorder="1"/>
    <xf numFmtId="0" fontId="1" fillId="0" borderId="66" xfId="0" applyFont="1" applyBorder="1"/>
    <xf numFmtId="0" fontId="1" fillId="0" borderId="12" xfId="0" applyFont="1" applyBorder="1" applyAlignment="1">
      <alignment horizontal="center"/>
    </xf>
    <xf numFmtId="0" fontId="26" fillId="0" borderId="28" xfId="0" applyFont="1" applyBorder="1"/>
    <xf numFmtId="0" fontId="1" fillId="0" borderId="66" xfId="0" applyFont="1" applyBorder="1" applyAlignment="1">
      <alignment horizontal="center"/>
    </xf>
    <xf numFmtId="0" fontId="26" fillId="0" borderId="26" xfId="0" applyFont="1" applyBorder="1"/>
    <xf numFmtId="0" fontId="0" fillId="0" borderId="83" xfId="0" applyBorder="1"/>
    <xf numFmtId="0" fontId="1" fillId="0" borderId="67" xfId="0" applyFont="1" applyBorder="1"/>
    <xf numFmtId="0" fontId="1" fillId="0" borderId="67" xfId="0" applyFont="1" applyBorder="1" applyAlignment="1">
      <alignment horizontal="center"/>
    </xf>
    <xf numFmtId="0" fontId="0" fillId="0" borderId="30" xfId="0" applyBorder="1"/>
    <xf numFmtId="0" fontId="0" fillId="0" borderId="1" xfId="0" applyBorder="1"/>
    <xf numFmtId="0" fontId="0" fillId="0" borderId="50" xfId="0" applyBorder="1"/>
    <xf numFmtId="0" fontId="26" fillId="0" borderId="34" xfId="0" applyFont="1" applyBorder="1"/>
    <xf numFmtId="0" fontId="26" fillId="0" borderId="62" xfId="0" applyFont="1" applyBorder="1"/>
    <xf numFmtId="0" fontId="26" fillId="0" borderId="52" xfId="0" applyFont="1" applyBorder="1"/>
    <xf numFmtId="0" fontId="26" fillId="0" borderId="84" xfId="0" applyFont="1" applyBorder="1"/>
    <xf numFmtId="0" fontId="0" fillId="0" borderId="52" xfId="0" applyBorder="1"/>
    <xf numFmtId="0" fontId="0" fillId="0" borderId="58" xfId="0" applyBorder="1"/>
    <xf numFmtId="0" fontId="26" fillId="0" borderId="54" xfId="0" applyFont="1" applyBorder="1"/>
    <xf numFmtId="166" fontId="26" fillId="0" borderId="54" xfId="0" applyNumberFormat="1" applyFont="1" applyBorder="1" applyAlignment="1">
      <alignment horizontal="left"/>
    </xf>
    <xf numFmtId="0" fontId="26" fillId="0" borderId="58" xfId="0" applyFont="1" applyBorder="1"/>
    <xf numFmtId="0" fontId="13" fillId="6" borderId="85" xfId="0" applyFont="1" applyFill="1" applyBorder="1" applyAlignment="1">
      <alignment horizontal="center" vertical="center" wrapText="1"/>
    </xf>
    <xf numFmtId="0" fontId="26" fillId="0" borderId="86" xfId="0" applyFont="1" applyBorder="1"/>
    <xf numFmtId="166" fontId="26" fillId="0" borderId="86" xfId="0" applyNumberFormat="1" applyFont="1" applyBorder="1" applyAlignment="1">
      <alignment horizontal="left"/>
    </xf>
    <xf numFmtId="0" fontId="26" fillId="0" borderId="87" xfId="0" applyFont="1" applyBorder="1"/>
    <xf numFmtId="0" fontId="26" fillId="0" borderId="64" xfId="0" applyFont="1" applyBorder="1"/>
    <xf numFmtId="0" fontId="26" fillId="0" borderId="88" xfId="0" applyFont="1" applyBorder="1"/>
    <xf numFmtId="0" fontId="0" fillId="0" borderId="68" xfId="0" applyBorder="1"/>
    <xf numFmtId="0" fontId="26" fillId="0" borderId="68" xfId="0" applyFont="1" applyBorder="1"/>
    <xf numFmtId="164" fontId="1" fillId="9" borderId="0" xfId="0" applyNumberFormat="1" applyFont="1" applyFill="1" applyAlignment="1">
      <alignment horizontal="right"/>
    </xf>
    <xf numFmtId="49" fontId="9" fillId="3" borderId="18" xfId="0" applyNumberFormat="1" applyFont="1" applyFill="1" applyBorder="1" applyAlignment="1">
      <alignment horizontal="center"/>
    </xf>
    <xf numFmtId="166" fontId="2" fillId="2" borderId="19" xfId="0" quotePrefix="1" applyNumberFormat="1" applyFont="1" applyFill="1" applyBorder="1" applyAlignment="1">
      <alignment horizontal="center"/>
    </xf>
    <xf numFmtId="49" fontId="8" fillId="3" borderId="17" xfId="0" applyNumberFormat="1" applyFont="1" applyFill="1" applyBorder="1" applyAlignment="1">
      <alignment horizontal="center"/>
    </xf>
    <xf numFmtId="164" fontId="10" fillId="4" borderId="24" xfId="0" applyNumberFormat="1" applyFont="1" applyFill="1" applyBorder="1" applyAlignment="1">
      <alignment horizontal="center"/>
    </xf>
    <xf numFmtId="164" fontId="2" fillId="2" borderId="24" xfId="0" applyNumberFormat="1" applyFont="1" applyFill="1" applyBorder="1" applyAlignment="1">
      <alignment horizontal="center"/>
    </xf>
    <xf numFmtId="166" fontId="2" fillId="2" borderId="26" xfId="0" applyNumberFormat="1" applyFont="1" applyFill="1" applyBorder="1" applyAlignment="1">
      <alignment horizontal="center"/>
    </xf>
    <xf numFmtId="166" fontId="2" fillId="9" borderId="24" xfId="0" applyNumberFormat="1" applyFont="1" applyFill="1" applyBorder="1" applyAlignment="1">
      <alignment horizontal="center"/>
    </xf>
    <xf numFmtId="6" fontId="19" fillId="2" borderId="25" xfId="0" applyNumberFormat="1" applyFont="1" applyFill="1" applyBorder="1" applyAlignment="1">
      <alignment horizontal="center"/>
    </xf>
    <xf numFmtId="6" fontId="2" fillId="2" borderId="28" xfId="0" applyNumberFormat="1" applyFont="1" applyFill="1" applyBorder="1" applyAlignment="1">
      <alignment horizontal="center"/>
    </xf>
    <xf numFmtId="6" fontId="19" fillId="2" borderId="22" xfId="0" applyNumberFormat="1" applyFont="1" applyFill="1" applyBorder="1" applyAlignment="1">
      <alignment horizontal="center"/>
    </xf>
    <xf numFmtId="6" fontId="2" fillId="2" borderId="33" xfId="0" applyNumberFormat="1" applyFont="1" applyFill="1" applyBorder="1" applyAlignment="1">
      <alignment horizontal="center"/>
    </xf>
    <xf numFmtId="166" fontId="19" fillId="2" borderId="27" xfId="0" applyNumberFormat="1" applyFont="1" applyFill="1" applyBorder="1" applyAlignment="1">
      <alignment horizontal="center"/>
    </xf>
    <xf numFmtId="9" fontId="19" fillId="2" borderId="23" xfId="0" applyNumberFormat="1" applyFont="1" applyFill="1" applyBorder="1" applyAlignment="1">
      <alignment horizontal="center"/>
    </xf>
    <xf numFmtId="9" fontId="2" fillId="2" borderId="24" xfId="0" applyNumberFormat="1" applyFont="1" applyFill="1" applyBorder="1" applyAlignment="1">
      <alignment horizontal="center"/>
    </xf>
    <xf numFmtId="9" fontId="19" fillId="3" borderId="23" xfId="0" applyNumberFormat="1" applyFont="1" applyFill="1" applyBorder="1" applyAlignment="1">
      <alignment horizontal="center"/>
    </xf>
    <xf numFmtId="9" fontId="2" fillId="3" borderId="24" xfId="0" applyNumberFormat="1" applyFont="1" applyFill="1" applyBorder="1" applyAlignment="1">
      <alignment horizontal="center"/>
    </xf>
    <xf numFmtId="49" fontId="19" fillId="2" borderId="23" xfId="0" applyNumberFormat="1" applyFont="1" applyFill="1" applyBorder="1" applyAlignment="1">
      <alignment horizontal="center"/>
    </xf>
    <xf numFmtId="49" fontId="2" fillId="2" borderId="24" xfId="0" applyNumberFormat="1" applyFont="1" applyFill="1" applyBorder="1" applyAlignment="1">
      <alignment horizontal="center"/>
    </xf>
    <xf numFmtId="49" fontId="2" fillId="2" borderId="28" xfId="0" applyNumberFormat="1" applyFont="1" applyFill="1" applyBorder="1" applyAlignment="1">
      <alignment horizontal="center"/>
    </xf>
    <xf numFmtId="166" fontId="2" fillId="2" borderId="24" xfId="0" quotePrefix="1" applyNumberFormat="1" applyFont="1" applyFill="1" applyBorder="1" applyAlignment="1">
      <alignment horizontal="center"/>
    </xf>
    <xf numFmtId="49" fontId="19" fillId="2" borderId="23" xfId="0" applyNumberFormat="1" applyFont="1" applyFill="1" applyBorder="1" applyAlignment="1">
      <alignment horizontal="center" vertical="center"/>
    </xf>
    <xf numFmtId="49" fontId="2" fillId="2" borderId="24" xfId="0" applyNumberFormat="1" applyFont="1" applyFill="1" applyBorder="1" applyAlignment="1">
      <alignment horizontal="center" vertical="center"/>
    </xf>
    <xf numFmtId="49" fontId="19" fillId="3" borderId="23" xfId="0" applyNumberFormat="1" applyFont="1" applyFill="1" applyBorder="1" applyAlignment="1">
      <alignment horizontal="center" vertical="center"/>
    </xf>
    <xf numFmtId="49" fontId="2" fillId="3" borderId="24" xfId="0" applyNumberFormat="1" applyFont="1" applyFill="1" applyBorder="1" applyAlignment="1">
      <alignment horizontal="center" vertical="center"/>
    </xf>
    <xf numFmtId="166" fontId="2" fillId="2" borderId="24" xfId="0" applyNumberFormat="1" applyFont="1" applyFill="1" applyBorder="1" applyAlignment="1">
      <alignment horizontal="center"/>
    </xf>
    <xf numFmtId="166" fontId="2" fillId="2" borderId="28" xfId="0" applyNumberFormat="1" applyFont="1" applyFill="1" applyBorder="1" applyAlignment="1">
      <alignment horizontal="center"/>
    </xf>
    <xf numFmtId="166" fontId="19" fillId="3" borderId="25" xfId="0" applyNumberFormat="1" applyFont="1" applyFill="1" applyBorder="1" applyAlignment="1">
      <alignment horizontal="center"/>
    </xf>
    <xf numFmtId="166" fontId="2" fillId="3" borderId="28" xfId="0" applyNumberFormat="1" applyFont="1" applyFill="1" applyBorder="1" applyAlignment="1">
      <alignment horizontal="center"/>
    </xf>
    <xf numFmtId="49" fontId="20" fillId="3" borderId="25" xfId="0" applyNumberFormat="1" applyFont="1" applyFill="1" applyBorder="1" applyAlignment="1">
      <alignment horizontal="center"/>
    </xf>
    <xf numFmtId="49" fontId="9" fillId="3" borderId="28" xfId="0" applyNumberFormat="1" applyFont="1" applyFill="1" applyBorder="1" applyAlignment="1">
      <alignment horizontal="center"/>
    </xf>
    <xf numFmtId="166" fontId="19" fillId="2" borderId="25" xfId="0" applyNumberFormat="1" applyFont="1" applyFill="1" applyBorder="1" applyAlignment="1">
      <alignment horizontal="center"/>
    </xf>
    <xf numFmtId="166" fontId="2" fillId="2" borderId="26" xfId="0" quotePrefix="1" applyNumberFormat="1" applyFont="1" applyFill="1" applyBorder="1" applyAlignment="1">
      <alignment horizontal="center"/>
    </xf>
    <xf numFmtId="49" fontId="19" fillId="3" borderId="23" xfId="0" applyNumberFormat="1" applyFont="1" applyFill="1" applyBorder="1" applyAlignment="1">
      <alignment horizontal="center"/>
    </xf>
    <xf numFmtId="49" fontId="8" fillId="3" borderId="24" xfId="0" applyNumberFormat="1" applyFont="1" applyFill="1" applyBorder="1" applyAlignment="1">
      <alignment horizontal="center"/>
    </xf>
    <xf numFmtId="49" fontId="19" fillId="0" borderId="23" xfId="0" applyNumberFormat="1" applyFont="1" applyBorder="1" applyAlignment="1">
      <alignment horizontal="center"/>
    </xf>
    <xf numFmtId="49" fontId="2" fillId="0" borderId="24" xfId="0" applyNumberFormat="1" applyFont="1" applyBorder="1" applyAlignment="1">
      <alignment horizontal="center"/>
    </xf>
    <xf numFmtId="166" fontId="2" fillId="3" borderId="24" xfId="0" applyNumberFormat="1" applyFont="1" applyFill="1" applyBorder="1" applyAlignment="1">
      <alignment horizontal="center"/>
    </xf>
    <xf numFmtId="6" fontId="19" fillId="2" borderId="27" xfId="0" applyNumberFormat="1" applyFont="1" applyFill="1" applyBorder="1" applyAlignment="1">
      <alignment horizontal="center"/>
    </xf>
    <xf numFmtId="166" fontId="19" fillId="2" borderId="26" xfId="0" applyNumberFormat="1" applyFont="1" applyFill="1" applyBorder="1" applyAlignment="1">
      <alignment horizontal="center"/>
    </xf>
    <xf numFmtId="166" fontId="19" fillId="2" borderId="31" xfId="0" applyNumberFormat="1" applyFont="1" applyFill="1" applyBorder="1" applyAlignment="1">
      <alignment horizontal="center"/>
    </xf>
    <xf numFmtId="166" fontId="19" fillId="2" borderId="34" xfId="0" applyNumberFormat="1" applyFont="1" applyFill="1" applyBorder="1" applyAlignment="1">
      <alignment horizontal="center"/>
    </xf>
    <xf numFmtId="0" fontId="25" fillId="0" borderId="2" xfId="0" applyFont="1" applyBorder="1"/>
    <xf numFmtId="0" fontId="26" fillId="0" borderId="87" xfId="0" applyFont="1" applyBorder="1" applyAlignment="1">
      <alignment wrapText="1"/>
    </xf>
    <xf numFmtId="0" fontId="26" fillId="0" borderId="28" xfId="0" applyFont="1" applyBorder="1" applyAlignment="1">
      <alignment wrapText="1"/>
    </xf>
    <xf numFmtId="16" fontId="28" fillId="0" borderId="26" xfId="0" applyNumberFormat="1" applyFont="1" applyBorder="1" applyAlignment="1">
      <alignment horizontal="center"/>
    </xf>
    <xf numFmtId="166" fontId="29" fillId="0" borderId="0" xfId="0" applyNumberFormat="1" applyFont="1"/>
    <xf numFmtId="166" fontId="3" fillId="8" borderId="52" xfId="0" applyNumberFormat="1" applyFont="1" applyFill="1" applyBorder="1"/>
    <xf numFmtId="0" fontId="1" fillId="0" borderId="83" xfId="0" applyFont="1" applyBorder="1"/>
    <xf numFmtId="0" fontId="3" fillId="0" borderId="67" xfId="0" applyFont="1" applyBorder="1"/>
    <xf numFmtId="0" fontId="3" fillId="0" borderId="69" xfId="0" applyFont="1" applyBorder="1" applyAlignment="1">
      <alignment horizontal="center"/>
    </xf>
    <xf numFmtId="166" fontId="3" fillId="9" borderId="16" xfId="0" applyNumberFormat="1" applyFont="1" applyFill="1" applyBorder="1"/>
    <xf numFmtId="166" fontId="3" fillId="9" borderId="33" xfId="0" applyNumberFormat="1" applyFont="1" applyFill="1" applyBorder="1"/>
    <xf numFmtId="49" fontId="6" fillId="3" borderId="28" xfId="0" applyNumberFormat="1" applyFont="1" applyFill="1" applyBorder="1" applyAlignment="1">
      <alignment horizontal="center"/>
    </xf>
    <xf numFmtId="9" fontId="2" fillId="2" borderId="26" xfId="0" applyNumberFormat="1" applyFont="1" applyFill="1" applyBorder="1" applyAlignment="1">
      <alignment horizontal="center"/>
    </xf>
    <xf numFmtId="49" fontId="2" fillId="2" borderId="26" xfId="0" applyNumberFormat="1" applyFont="1" applyFill="1" applyBorder="1" applyAlignment="1">
      <alignment horizontal="center" vertical="center"/>
    </xf>
    <xf numFmtId="49" fontId="2" fillId="3" borderId="24" xfId="0" applyNumberFormat="1" applyFont="1" applyFill="1" applyBorder="1" applyAlignment="1">
      <alignment horizontal="center"/>
    </xf>
    <xf numFmtId="166" fontId="2" fillId="2" borderId="34" xfId="0" applyNumberFormat="1" applyFont="1" applyFill="1" applyBorder="1" applyAlignment="1">
      <alignment horizontal="center"/>
    </xf>
    <xf numFmtId="49" fontId="19" fillId="0" borderId="22" xfId="0" applyNumberFormat="1" applyFont="1" applyBorder="1" applyAlignment="1">
      <alignment horizontal="center"/>
    </xf>
    <xf numFmtId="49" fontId="2" fillId="2" borderId="10" xfId="0" applyNumberFormat="1" applyFont="1" applyFill="1" applyBorder="1" applyAlignment="1">
      <alignment horizontal="center"/>
    </xf>
    <xf numFmtId="49" fontId="2" fillId="0" borderId="10" xfId="0" applyNumberFormat="1" applyFont="1" applyBorder="1" applyAlignment="1">
      <alignment horizontal="center"/>
    </xf>
    <xf numFmtId="0" fontId="23" fillId="13" borderId="11" xfId="0" applyFont="1" applyFill="1" applyBorder="1" applyAlignment="1">
      <alignment horizontal="center" vertical="center" wrapText="1"/>
    </xf>
    <xf numFmtId="0" fontId="31" fillId="15" borderId="11" xfId="0" applyFont="1" applyFill="1" applyBorder="1" applyAlignment="1">
      <alignment vertical="center" wrapText="1"/>
    </xf>
    <xf numFmtId="0" fontId="32" fillId="15" borderId="11" xfId="0" applyFont="1" applyFill="1" applyBorder="1" applyAlignment="1">
      <alignment vertical="center" wrapText="1"/>
    </xf>
    <xf numFmtId="0" fontId="31" fillId="15" borderId="11" xfId="0" applyFont="1" applyFill="1" applyBorder="1" applyAlignment="1">
      <alignment horizontal="center" vertical="center" wrapText="1"/>
    </xf>
    <xf numFmtId="0" fontId="32" fillId="16" borderId="11" xfId="0" applyFont="1" applyFill="1" applyBorder="1" applyAlignment="1">
      <alignment vertical="center" wrapText="1"/>
    </xf>
    <xf numFmtId="0" fontId="22" fillId="16" borderId="11" xfId="0" applyFont="1" applyFill="1" applyBorder="1" applyAlignment="1">
      <alignment horizontal="center" vertical="center" wrapText="1"/>
    </xf>
    <xf numFmtId="0" fontId="32" fillId="16" borderId="11" xfId="0" applyFont="1" applyFill="1" applyBorder="1" applyAlignment="1">
      <alignment horizontal="center" vertical="center" wrapText="1"/>
    </xf>
    <xf numFmtId="0" fontId="21" fillId="9" borderId="11" xfId="0" applyFont="1" applyFill="1" applyBorder="1" applyAlignment="1">
      <alignment horizontal="center" vertical="center" wrapText="1"/>
    </xf>
    <xf numFmtId="0" fontId="24" fillId="0" borderId="11" xfId="0" applyFont="1" applyBorder="1" applyAlignment="1">
      <alignment horizontal="center"/>
    </xf>
    <xf numFmtId="0" fontId="30" fillId="15" borderId="11" xfId="0" applyFont="1" applyFill="1" applyBorder="1" applyAlignment="1">
      <alignment vertical="center" wrapText="1"/>
    </xf>
    <xf numFmtId="0" fontId="30" fillId="15" borderId="11" xfId="0" applyFont="1" applyFill="1" applyBorder="1" applyAlignment="1">
      <alignment horizontal="center" vertical="center" wrapText="1"/>
    </xf>
    <xf numFmtId="0" fontId="30" fillId="16" borderId="11" xfId="0" applyFont="1" applyFill="1" applyBorder="1" applyAlignment="1">
      <alignment vertical="center" wrapText="1"/>
    </xf>
    <xf numFmtId="0" fontId="30" fillId="16" borderId="11" xfId="0" applyFont="1" applyFill="1" applyBorder="1" applyAlignment="1">
      <alignment horizontal="center" vertical="center" wrapText="1"/>
    </xf>
    <xf numFmtId="0" fontId="30" fillId="15" borderId="11" xfId="0" applyFont="1" applyFill="1" applyBorder="1"/>
    <xf numFmtId="8" fontId="24" fillId="9" borderId="11" xfId="0" applyNumberFormat="1" applyFont="1" applyFill="1" applyBorder="1" applyAlignment="1">
      <alignment horizontal="center"/>
    </xf>
    <xf numFmtId="8" fontId="24" fillId="9" borderId="11" xfId="0" applyNumberFormat="1" applyFont="1" applyFill="1" applyBorder="1" applyAlignment="1">
      <alignment horizontal="center" vertical="center" wrapText="1"/>
    </xf>
    <xf numFmtId="0" fontId="24" fillId="9" borderId="11" xfId="0" applyFont="1" applyFill="1" applyBorder="1" applyAlignment="1">
      <alignment horizontal="center" vertical="center" wrapText="1"/>
    </xf>
    <xf numFmtId="166" fontId="2" fillId="9" borderId="26" xfId="0" applyNumberFormat="1" applyFont="1" applyFill="1" applyBorder="1" applyAlignment="1">
      <alignment horizontal="center"/>
    </xf>
    <xf numFmtId="166" fontId="2" fillId="2" borderId="22" xfId="0" applyNumberFormat="1" applyFont="1" applyFill="1" applyBorder="1" applyAlignment="1">
      <alignment horizontal="center"/>
    </xf>
    <xf numFmtId="166" fontId="2" fillId="2" borderId="10" xfId="0" applyNumberFormat="1" applyFont="1" applyFill="1" applyBorder="1" applyAlignment="1">
      <alignment horizontal="center"/>
    </xf>
    <xf numFmtId="166" fontId="2" fillId="2" borderId="16" xfId="0" applyNumberFormat="1" applyFont="1" applyFill="1" applyBorder="1" applyAlignment="1">
      <alignment horizontal="center"/>
    </xf>
    <xf numFmtId="166" fontId="2" fillId="2" borderId="33" xfId="0" applyNumberFormat="1" applyFont="1" applyFill="1" applyBorder="1" applyAlignment="1">
      <alignment horizontal="center"/>
    </xf>
    <xf numFmtId="0" fontId="10" fillId="6" borderId="25" xfId="0" applyFont="1" applyFill="1" applyBorder="1"/>
    <xf numFmtId="166" fontId="7" fillId="0" borderId="0" xfId="0" applyNumberFormat="1" applyFont="1"/>
    <xf numFmtId="0" fontId="13" fillId="6" borderId="86" xfId="0" applyFont="1" applyFill="1" applyBorder="1" applyAlignment="1">
      <alignment horizontal="center" vertical="center" wrapText="1"/>
    </xf>
    <xf numFmtId="3" fontId="4" fillId="0" borderId="87" xfId="0" applyNumberFormat="1" applyFont="1" applyBorder="1" applyAlignment="1">
      <alignment horizontal="center"/>
    </xf>
    <xf numFmtId="16" fontId="3" fillId="0" borderId="64" xfId="0" applyNumberFormat="1" applyFont="1" applyBorder="1" applyAlignment="1">
      <alignment horizontal="center"/>
    </xf>
    <xf numFmtId="3" fontId="3" fillId="0" borderId="64" xfId="0" applyNumberFormat="1" applyFont="1" applyBorder="1" applyAlignment="1">
      <alignment horizontal="center"/>
    </xf>
    <xf numFmtId="164" fontId="3" fillId="0" borderId="64" xfId="0" applyNumberFormat="1" applyFont="1" applyBorder="1"/>
    <xf numFmtId="0" fontId="3" fillId="0" borderId="64" xfId="0" applyFont="1" applyBorder="1"/>
    <xf numFmtId="166" fontId="3" fillId="0" borderId="91" xfId="0" applyNumberFormat="1" applyFont="1" applyBorder="1"/>
    <xf numFmtId="164" fontId="3" fillId="0" borderId="64" xfId="0" applyNumberFormat="1" applyFont="1" applyBorder="1" applyAlignment="1">
      <alignment horizontal="right"/>
    </xf>
    <xf numFmtId="4" fontId="1" fillId="0" borderId="64" xfId="0" applyNumberFormat="1" applyFont="1" applyBorder="1" applyAlignment="1">
      <alignment horizontal="right"/>
    </xf>
    <xf numFmtId="0" fontId="4" fillId="0" borderId="92" xfId="0" applyFont="1" applyBorder="1"/>
    <xf numFmtId="164" fontId="4" fillId="9" borderId="64" xfId="0" applyNumberFormat="1" applyFont="1" applyFill="1" applyBorder="1"/>
    <xf numFmtId="164" fontId="4" fillId="0" borderId="64" xfId="0" applyNumberFormat="1" applyFont="1" applyBorder="1"/>
    <xf numFmtId="166" fontId="4" fillId="0" borderId="64" xfId="0" applyNumberFormat="1" applyFont="1" applyBorder="1"/>
    <xf numFmtId="166" fontId="4" fillId="0" borderId="91" xfId="0" applyNumberFormat="1" applyFont="1" applyBorder="1"/>
    <xf numFmtId="166" fontId="4" fillId="0" borderId="93" xfId="0" applyNumberFormat="1" applyFont="1" applyBorder="1" applyAlignment="1">
      <alignment horizontal="right"/>
    </xf>
    <xf numFmtId="164" fontId="1" fillId="0" borderId="64" xfId="0" applyNumberFormat="1" applyFont="1" applyBorder="1" applyAlignment="1">
      <alignment horizontal="right"/>
    </xf>
    <xf numFmtId="166" fontId="5" fillId="0" borderId="64" xfId="0" applyNumberFormat="1" applyFont="1" applyBorder="1"/>
    <xf numFmtId="166" fontId="5" fillId="0" borderId="91" xfId="0" applyNumberFormat="1" applyFont="1" applyBorder="1"/>
    <xf numFmtId="166" fontId="3" fillId="9" borderId="88" xfId="0" applyNumberFormat="1" applyFont="1" applyFill="1" applyBorder="1"/>
    <xf numFmtId="10" fontId="5" fillId="0" borderId="91" xfId="0" applyNumberFormat="1" applyFont="1" applyBorder="1"/>
    <xf numFmtId="166" fontId="5" fillId="0" borderId="68" xfId="0" applyNumberFormat="1" applyFont="1" applyBorder="1"/>
    <xf numFmtId="0" fontId="26" fillId="0" borderId="33" xfId="0" applyFont="1" applyBorder="1"/>
    <xf numFmtId="0" fontId="27" fillId="0" borderId="0" xfId="0" applyFont="1" applyAlignment="1">
      <alignment vertical="top" wrapText="1"/>
    </xf>
    <xf numFmtId="10" fontId="0" fillId="0" borderId="0" xfId="0" applyNumberFormat="1"/>
    <xf numFmtId="166" fontId="1" fillId="9" borderId="19" xfId="0" applyNumberFormat="1" applyFont="1" applyFill="1" applyBorder="1" applyAlignment="1">
      <alignment horizontal="right"/>
    </xf>
    <xf numFmtId="166" fontId="1" fillId="9" borderId="64" xfId="0" applyNumberFormat="1" applyFont="1" applyFill="1" applyBorder="1" applyAlignment="1">
      <alignment horizontal="right"/>
    </xf>
    <xf numFmtId="166" fontId="3" fillId="9" borderId="52" xfId="0" applyNumberFormat="1" applyFont="1" applyFill="1" applyBorder="1"/>
    <xf numFmtId="0" fontId="3" fillId="0" borderId="37" xfId="0" applyFont="1" applyBorder="1"/>
    <xf numFmtId="0" fontId="3" fillId="0" borderId="36" xfId="0" applyFont="1" applyBorder="1" applyAlignment="1">
      <alignment horizontal="center"/>
    </xf>
    <xf numFmtId="166" fontId="1" fillId="9" borderId="17" xfId="0" applyNumberFormat="1" applyFont="1" applyFill="1" applyBorder="1" applyAlignment="1">
      <alignment horizontal="right"/>
    </xf>
    <xf numFmtId="166" fontId="1" fillId="9" borderId="86" xfId="0" applyNumberFormat="1" applyFont="1" applyFill="1" applyBorder="1" applyAlignment="1">
      <alignment horizontal="right"/>
    </xf>
    <xf numFmtId="166" fontId="3" fillId="9" borderId="24" xfId="0" applyNumberFormat="1" applyFont="1" applyFill="1" applyBorder="1"/>
    <xf numFmtId="164" fontId="4" fillId="9" borderId="52" xfId="0" applyNumberFormat="1" applyFont="1" applyFill="1" applyBorder="1"/>
    <xf numFmtId="166" fontId="4" fillId="0" borderId="57" xfId="0" applyNumberFormat="1" applyFont="1" applyBorder="1" applyAlignment="1">
      <alignment horizontal="right"/>
    </xf>
    <xf numFmtId="166" fontId="3" fillId="9" borderId="84" xfId="0" applyNumberFormat="1" applyFont="1" applyFill="1" applyBorder="1"/>
    <xf numFmtId="166" fontId="1" fillId="9" borderId="54" xfId="0" applyNumberFormat="1" applyFont="1" applyFill="1" applyBorder="1" applyAlignment="1">
      <alignment horizontal="right"/>
    </xf>
    <xf numFmtId="166" fontId="1" fillId="9" borderId="52" xfId="0" applyNumberFormat="1" applyFont="1" applyFill="1" applyBorder="1" applyAlignment="1">
      <alignment horizontal="right"/>
    </xf>
    <xf numFmtId="166" fontId="1" fillId="9" borderId="94" xfId="0" applyNumberFormat="1" applyFont="1" applyFill="1" applyBorder="1" applyAlignment="1">
      <alignment horizontal="right"/>
    </xf>
    <xf numFmtId="165" fontId="5" fillId="0" borderId="68" xfId="1" applyNumberFormat="1" applyFont="1" applyBorder="1"/>
    <xf numFmtId="164" fontId="3" fillId="0" borderId="91" xfId="0" applyNumberFormat="1" applyFont="1" applyBorder="1" applyAlignment="1">
      <alignment horizontal="right"/>
    </xf>
    <xf numFmtId="164" fontId="1" fillId="0" borderId="55" xfId="0" applyNumberFormat="1" applyFont="1" applyBorder="1" applyAlignment="1">
      <alignment horizontal="right"/>
    </xf>
    <xf numFmtId="164" fontId="1" fillId="0" borderId="45" xfId="0" applyNumberFormat="1" applyFont="1" applyBorder="1" applyAlignment="1">
      <alignment horizontal="right"/>
    </xf>
    <xf numFmtId="166" fontId="1" fillId="9" borderId="98" xfId="0" applyNumberFormat="1" applyFont="1" applyFill="1" applyBorder="1" applyAlignment="1">
      <alignment horizontal="right"/>
    </xf>
    <xf numFmtId="0" fontId="30" fillId="14" borderId="82" xfId="0" applyFont="1" applyFill="1" applyBorder="1" applyAlignment="1">
      <alignment horizontal="center" vertical="center" wrapText="1"/>
    </xf>
    <xf numFmtId="166" fontId="5" fillId="0" borderId="93" xfId="0" applyNumberFormat="1" applyFont="1" applyBorder="1"/>
    <xf numFmtId="166" fontId="5" fillId="0" borderId="57" xfId="0" applyNumberFormat="1" applyFont="1" applyBorder="1"/>
    <xf numFmtId="166" fontId="5" fillId="0" borderId="49" xfId="0" applyNumberFormat="1" applyFont="1" applyBorder="1"/>
    <xf numFmtId="166" fontId="1" fillId="9" borderId="62" xfId="0" applyNumberFormat="1" applyFont="1" applyFill="1" applyBorder="1" applyAlignment="1">
      <alignment horizontal="right"/>
    </xf>
    <xf numFmtId="166" fontId="28" fillId="9" borderId="87" xfId="0" applyNumberFormat="1" applyFont="1" applyFill="1" applyBorder="1" applyAlignment="1">
      <alignment horizontal="right"/>
    </xf>
    <xf numFmtId="166" fontId="28" fillId="9" borderId="62" xfId="0" applyNumberFormat="1" applyFont="1" applyFill="1" applyBorder="1" applyAlignment="1">
      <alignment horizontal="right"/>
    </xf>
    <xf numFmtId="166" fontId="28" fillId="9" borderId="97" xfId="0" applyNumberFormat="1" applyFont="1" applyFill="1" applyBorder="1" applyAlignment="1">
      <alignment horizontal="right"/>
    </xf>
    <xf numFmtId="0" fontId="24" fillId="0" borderId="0" xfId="0" applyFont="1" applyAlignment="1">
      <alignment vertical="center" wrapText="1"/>
    </xf>
    <xf numFmtId="0" fontId="24" fillId="0" borderId="43" xfId="0" applyFont="1" applyBorder="1" applyAlignment="1">
      <alignment vertical="center" wrapText="1"/>
    </xf>
    <xf numFmtId="0" fontId="23" fillId="13" borderId="43" xfId="0" applyFont="1" applyFill="1" applyBorder="1" applyAlignment="1">
      <alignment horizontal="center" vertical="center" wrapText="1"/>
    </xf>
    <xf numFmtId="0" fontId="24" fillId="0" borderId="100" xfId="0" applyFont="1" applyBorder="1" applyAlignment="1">
      <alignment vertical="center" wrapText="1"/>
    </xf>
    <xf numFmtId="0" fontId="24" fillId="0" borderId="30" xfId="0" applyFont="1" applyBorder="1" applyAlignment="1">
      <alignment vertical="center"/>
    </xf>
    <xf numFmtId="0" fontId="23" fillId="0" borderId="38" xfId="0" applyFont="1" applyBorder="1" applyAlignment="1">
      <alignment horizontal="left" vertical="center" wrapText="1" indent="4"/>
    </xf>
    <xf numFmtId="0" fontId="24" fillId="0" borderId="43" xfId="0" applyFont="1" applyBorder="1" applyAlignment="1">
      <alignment vertical="center"/>
    </xf>
    <xf numFmtId="0" fontId="23" fillId="0" borderId="43" xfId="0" applyFont="1" applyBorder="1" applyAlignment="1">
      <alignment horizontal="left" vertical="center" wrapText="1" indent="4"/>
    </xf>
    <xf numFmtId="0" fontId="24" fillId="0" borderId="30" xfId="0" applyFont="1" applyBorder="1" applyAlignment="1">
      <alignment vertical="center" wrapText="1"/>
    </xf>
    <xf numFmtId="0" fontId="24" fillId="0" borderId="0" xfId="0" applyFont="1" applyAlignment="1">
      <alignment horizontal="center" vertical="center"/>
    </xf>
    <xf numFmtId="0" fontId="27" fillId="0" borderId="50" xfId="0" applyFont="1" applyBorder="1" applyAlignment="1">
      <alignment vertical="top" wrapText="1"/>
    </xf>
    <xf numFmtId="166" fontId="2" fillId="12" borderId="61" xfId="0" applyNumberFormat="1" applyFont="1" applyFill="1" applyBorder="1" applyAlignment="1">
      <alignment horizontal="center" vertical="top" wrapText="1"/>
    </xf>
    <xf numFmtId="0" fontId="24" fillId="0" borderId="30" xfId="0" applyFont="1" applyBorder="1"/>
    <xf numFmtId="0" fontId="23" fillId="18" borderId="83" xfId="0" applyFont="1" applyFill="1" applyBorder="1" applyAlignment="1">
      <alignment horizontal="center" vertical="center" wrapText="1"/>
    </xf>
    <xf numFmtId="0" fontId="36" fillId="14" borderId="21" xfId="0" applyFont="1" applyFill="1" applyBorder="1" applyAlignment="1">
      <alignment horizontal="center"/>
    </xf>
    <xf numFmtId="0" fontId="36" fillId="14" borderId="41" xfId="0" applyFont="1" applyFill="1" applyBorder="1" applyAlignment="1">
      <alignment horizontal="center"/>
    </xf>
    <xf numFmtId="0" fontId="36" fillId="14" borderId="42" xfId="0" applyFont="1" applyFill="1" applyBorder="1" applyAlignment="1">
      <alignment horizontal="center"/>
    </xf>
    <xf numFmtId="0" fontId="36" fillId="14" borderId="17" xfId="0" applyFont="1" applyFill="1" applyBorder="1" applyAlignment="1">
      <alignment horizontal="center"/>
    </xf>
    <xf numFmtId="0" fontId="36" fillId="14" borderId="11" xfId="0" applyFont="1" applyFill="1" applyBorder="1" applyAlignment="1">
      <alignment horizontal="center"/>
    </xf>
    <xf numFmtId="0" fontId="36" fillId="14" borderId="24" xfId="0" applyFont="1" applyFill="1" applyBorder="1" applyAlignment="1">
      <alignment horizontal="center"/>
    </xf>
    <xf numFmtId="0" fontId="37" fillId="0" borderId="30" xfId="0" applyFont="1" applyBorder="1" applyAlignment="1">
      <alignment horizontal="left"/>
    </xf>
    <xf numFmtId="0" fontId="25" fillId="0" borderId="19" xfId="0" applyFont="1" applyBorder="1" applyAlignment="1">
      <alignment horizontal="left" vertical="top" wrapText="1"/>
    </xf>
    <xf numFmtId="0" fontId="25" fillId="0" borderId="26" xfId="0" applyFont="1" applyBorder="1" applyAlignment="1">
      <alignment horizontal="left" vertical="top" wrapText="1"/>
    </xf>
    <xf numFmtId="0" fontId="37" fillId="0" borderId="43" xfId="0" applyFont="1" applyBorder="1" applyAlignment="1">
      <alignment horizontal="left"/>
    </xf>
    <xf numFmtId="8" fontId="25" fillId="0" borderId="17" xfId="0" applyNumberFormat="1" applyFont="1" applyBorder="1" applyAlignment="1">
      <alignment horizontal="left" vertical="top" wrapText="1"/>
    </xf>
    <xf numFmtId="8" fontId="25" fillId="0" borderId="11" xfId="0" applyNumberFormat="1" applyFont="1" applyBorder="1" applyAlignment="1">
      <alignment horizontal="left" vertical="top" wrapText="1"/>
    </xf>
    <xf numFmtId="8" fontId="25" fillId="0" borderId="24" xfId="0" applyNumberFormat="1" applyFont="1" applyBorder="1" applyAlignment="1">
      <alignment horizontal="left" vertical="top" wrapText="1"/>
    </xf>
    <xf numFmtId="8" fontId="25" fillId="0" borderId="19" xfId="0" applyNumberFormat="1" applyFont="1" applyBorder="1" applyAlignment="1">
      <alignment horizontal="left" vertical="top" wrapText="1"/>
    </xf>
    <xf numFmtId="8" fontId="25" fillId="0" borderId="26" xfId="0" applyNumberFormat="1" applyFont="1" applyBorder="1" applyAlignment="1">
      <alignment horizontal="left" vertical="top" wrapText="1"/>
    </xf>
    <xf numFmtId="0" fontId="37" fillId="0" borderId="29" xfId="0" applyFont="1" applyBorder="1" applyAlignment="1">
      <alignment vertical="top" wrapText="1"/>
    </xf>
    <xf numFmtId="0" fontId="25" fillId="0" borderId="18" xfId="0" applyFont="1" applyBorder="1" applyAlignment="1">
      <alignment horizontal="left" vertical="top" wrapText="1"/>
    </xf>
    <xf numFmtId="0" fontId="25" fillId="0" borderId="2" xfId="0" applyFont="1" applyBorder="1" applyAlignment="1">
      <alignment horizontal="left" vertical="top" wrapText="1"/>
    </xf>
    <xf numFmtId="0" fontId="25" fillId="0" borderId="28" xfId="0" applyFont="1" applyBorder="1" applyAlignment="1">
      <alignment horizontal="left" vertical="top" wrapText="1"/>
    </xf>
    <xf numFmtId="0" fontId="37" fillId="0" borderId="30" xfId="0" applyFont="1" applyBorder="1" applyAlignment="1">
      <alignment vertical="top" wrapText="1"/>
    </xf>
    <xf numFmtId="0" fontId="25" fillId="0" borderId="18" xfId="0" applyFont="1" applyBorder="1" applyAlignment="1">
      <alignment vertical="top" wrapText="1"/>
    </xf>
    <xf numFmtId="0" fontId="25" fillId="0" borderId="2" xfId="0" applyFont="1" applyBorder="1" applyAlignment="1">
      <alignment vertical="top" wrapText="1"/>
    </xf>
    <xf numFmtId="0" fontId="25" fillId="0" borderId="28" xfId="0" applyFont="1" applyBorder="1" applyAlignment="1">
      <alignment vertical="top" wrapText="1"/>
    </xf>
    <xf numFmtId="0" fontId="25" fillId="0" borderId="19" xfId="0" applyFont="1" applyBorder="1" applyAlignment="1">
      <alignment vertical="top" wrapText="1"/>
    </xf>
    <xf numFmtId="0" fontId="25" fillId="0" borderId="3" xfId="0" applyFont="1" applyBorder="1" applyAlignment="1">
      <alignment vertical="top" wrapText="1"/>
    </xf>
    <xf numFmtId="0" fontId="25" fillId="0" borderId="26" xfId="0" applyFont="1" applyBorder="1" applyAlignment="1">
      <alignment vertical="top" wrapText="1"/>
    </xf>
    <xf numFmtId="0" fontId="37" fillId="0" borderId="43" xfId="0" applyFont="1" applyBorder="1" applyAlignment="1">
      <alignment vertical="top" wrapText="1"/>
    </xf>
    <xf numFmtId="0" fontId="37" fillId="0" borderId="83" xfId="0" applyFont="1" applyBorder="1" applyAlignment="1">
      <alignment vertical="top" wrapText="1"/>
    </xf>
    <xf numFmtId="0" fontId="25" fillId="0" borderId="16" xfId="0" applyFont="1" applyBorder="1" applyAlignment="1">
      <alignment horizontal="left" vertical="top" wrapText="1"/>
    </xf>
    <xf numFmtId="0" fontId="25" fillId="0" borderId="10" xfId="0" applyFont="1" applyBorder="1" applyAlignment="1">
      <alignment horizontal="left" vertical="top" wrapText="1"/>
    </xf>
    <xf numFmtId="0" fontId="25" fillId="0" borderId="33" xfId="0" applyFont="1" applyBorder="1" applyAlignment="1">
      <alignment horizontal="left" vertical="top" wrapText="1"/>
    </xf>
    <xf numFmtId="0" fontId="37" fillId="0" borderId="89" xfId="0" applyFont="1" applyBorder="1" applyAlignment="1">
      <alignment vertical="top" wrapText="1"/>
    </xf>
    <xf numFmtId="0" fontId="25" fillId="0" borderId="90" xfId="0" applyFont="1" applyBorder="1" applyAlignment="1">
      <alignment horizontal="left" vertical="top" wrapText="1"/>
    </xf>
    <xf numFmtId="0" fontId="25" fillId="0" borderId="99" xfId="0" applyFont="1" applyBorder="1" applyAlignment="1">
      <alignment horizontal="left" vertical="top" wrapText="1"/>
    </xf>
    <xf numFmtId="8" fontId="25" fillId="0" borderId="0" xfId="0" applyNumberFormat="1" applyFont="1" applyAlignment="1">
      <alignment horizontal="left" vertical="top" wrapText="1"/>
    </xf>
    <xf numFmtId="0" fontId="37" fillId="0" borderId="23" xfId="0" applyFont="1" applyBorder="1" applyAlignment="1">
      <alignment vertical="top" wrapText="1"/>
    </xf>
    <xf numFmtId="165" fontId="25" fillId="0" borderId="86" xfId="0" applyNumberFormat="1" applyFont="1" applyBorder="1" applyAlignment="1">
      <alignment horizontal="center"/>
    </xf>
    <xf numFmtId="165" fontId="25" fillId="0" borderId="11" xfId="0" applyNumberFormat="1" applyFont="1" applyBorder="1" applyAlignment="1">
      <alignment horizontal="center"/>
    </xf>
    <xf numFmtId="165" fontId="25" fillId="0" borderId="24" xfId="0" applyNumberFormat="1" applyFont="1" applyBorder="1" applyAlignment="1">
      <alignment horizontal="center"/>
    </xf>
    <xf numFmtId="0" fontId="25" fillId="12" borderId="11" xfId="0" applyFont="1" applyFill="1" applyBorder="1" applyAlignment="1">
      <alignment horizontal="center" vertical="top" wrapText="1"/>
    </xf>
    <xf numFmtId="0" fontId="25" fillId="12" borderId="24" xfId="0" applyFont="1" applyFill="1" applyBorder="1" applyAlignment="1">
      <alignment horizontal="center" vertical="top" wrapText="1"/>
    </xf>
    <xf numFmtId="164" fontId="25" fillId="0" borderId="11" xfId="0" applyNumberFormat="1" applyFont="1" applyBorder="1" applyAlignment="1">
      <alignment horizontal="center"/>
    </xf>
    <xf numFmtId="164" fontId="25" fillId="0" borderId="24" xfId="0" applyNumberFormat="1" applyFont="1" applyBorder="1" applyAlignment="1">
      <alignment horizontal="center"/>
    </xf>
    <xf numFmtId="166" fontId="25" fillId="0" borderId="11" xfId="0" applyNumberFormat="1" applyFont="1" applyBorder="1" applyAlignment="1">
      <alignment horizontal="center"/>
    </xf>
    <xf numFmtId="0" fontId="25" fillId="0" borderId="11" xfId="0" applyFont="1" applyBorder="1" applyAlignment="1">
      <alignment horizontal="center"/>
    </xf>
    <xf numFmtId="0" fontId="37" fillId="0" borderId="0" xfId="0" applyFont="1" applyAlignment="1">
      <alignment vertical="top" wrapText="1"/>
    </xf>
    <xf numFmtId="165" fontId="25" fillId="0" borderId="0" xfId="0" applyNumberFormat="1" applyFont="1" applyAlignment="1">
      <alignment horizontal="center"/>
    </xf>
    <xf numFmtId="166" fontId="25" fillId="0" borderId="24" xfId="0" applyNumberFormat="1" applyFont="1" applyBorder="1" applyAlignment="1">
      <alignment horizontal="center"/>
    </xf>
    <xf numFmtId="0" fontId="25" fillId="0" borderId="90" xfId="0" applyFont="1" applyBorder="1" applyAlignment="1">
      <alignment horizontal="center"/>
    </xf>
    <xf numFmtId="165" fontId="25" fillId="0" borderId="99" xfId="0" applyNumberFormat="1" applyFont="1" applyBorder="1" applyAlignment="1">
      <alignment horizontal="center"/>
    </xf>
    <xf numFmtId="165" fontId="24" fillId="0" borderId="0" xfId="0" applyNumberFormat="1" applyFont="1" applyAlignment="1">
      <alignment horizontal="center"/>
    </xf>
    <xf numFmtId="0" fontId="38" fillId="0" borderId="44" xfId="0" applyFont="1" applyBorder="1"/>
    <xf numFmtId="0" fontId="38" fillId="0" borderId="50" xfId="0" applyFont="1" applyBorder="1"/>
    <xf numFmtId="166" fontId="38" fillId="0" borderId="35" xfId="0" applyNumberFormat="1" applyFont="1" applyBorder="1"/>
    <xf numFmtId="166" fontId="38" fillId="0" borderId="59" xfId="0" applyNumberFormat="1" applyFont="1" applyBorder="1"/>
    <xf numFmtId="0" fontId="38" fillId="0" borderId="0" xfId="0" applyFont="1"/>
    <xf numFmtId="166" fontId="38" fillId="0" borderId="0" xfId="0" applyNumberFormat="1" applyFont="1"/>
    <xf numFmtId="166" fontId="38" fillId="0" borderId="0" xfId="0" applyNumberFormat="1" applyFont="1" applyAlignment="1">
      <alignment horizontal="right"/>
    </xf>
    <xf numFmtId="0" fontId="35" fillId="0" borderId="30" xfId="0" applyFont="1" applyBorder="1"/>
    <xf numFmtId="0" fontId="35" fillId="0" borderId="0" xfId="0" applyFont="1"/>
    <xf numFmtId="0" fontId="35" fillId="0" borderId="0" xfId="0" applyFont="1" applyAlignment="1">
      <alignment horizontal="center"/>
    </xf>
    <xf numFmtId="0" fontId="35" fillId="0" borderId="30" xfId="0" quotePrefix="1" applyFont="1" applyBorder="1"/>
    <xf numFmtId="0" fontId="35" fillId="0" borderId="64" xfId="0" applyFont="1" applyBorder="1"/>
    <xf numFmtId="166" fontId="35" fillId="0" borderId="0" xfId="0" applyNumberFormat="1" applyFont="1"/>
    <xf numFmtId="0" fontId="35" fillId="0" borderId="44" xfId="0" applyFont="1" applyBorder="1"/>
    <xf numFmtId="0" fontId="38" fillId="0" borderId="46" xfId="0" applyFont="1" applyBorder="1"/>
    <xf numFmtId="0" fontId="38" fillId="0" borderId="13" xfId="0" applyFont="1" applyBorder="1"/>
    <xf numFmtId="0" fontId="38" fillId="0" borderId="30" xfId="0" quotePrefix="1" applyFont="1" applyBorder="1"/>
    <xf numFmtId="0" fontId="38" fillId="0" borderId="44" xfId="0" quotePrefix="1" applyFont="1" applyBorder="1"/>
    <xf numFmtId="0" fontId="38" fillId="0" borderId="30" xfId="0" applyFont="1" applyBorder="1"/>
    <xf numFmtId="0" fontId="35" fillId="0" borderId="48" xfId="0" applyFont="1" applyBorder="1"/>
    <xf numFmtId="0" fontId="35" fillId="0" borderId="43" xfId="0" applyFont="1" applyBorder="1"/>
    <xf numFmtId="0" fontId="35" fillId="0" borderId="37" xfId="0" applyFont="1" applyBorder="1"/>
    <xf numFmtId="0" fontId="35" fillId="0" borderId="29" xfId="0" applyFont="1" applyBorder="1"/>
    <xf numFmtId="0" fontId="35" fillId="0" borderId="66" xfId="0" applyFont="1" applyBorder="1"/>
    <xf numFmtId="0" fontId="35" fillId="0" borderId="95" xfId="0" applyFont="1" applyBorder="1"/>
    <xf numFmtId="166" fontId="40" fillId="9" borderId="98" xfId="0" applyNumberFormat="1" applyFont="1" applyFill="1" applyBorder="1"/>
    <xf numFmtId="166" fontId="35" fillId="9" borderId="26" xfId="0" applyNumberFormat="1" applyFont="1" applyFill="1" applyBorder="1"/>
    <xf numFmtId="164" fontId="35" fillId="0" borderId="0" xfId="0" applyNumberFormat="1" applyFont="1"/>
    <xf numFmtId="0" fontId="35" fillId="0" borderId="24" xfId="0" applyFont="1" applyBorder="1"/>
    <xf numFmtId="0" fontId="35" fillId="0" borderId="86" xfId="0" applyFont="1" applyBorder="1"/>
    <xf numFmtId="166" fontId="35" fillId="0" borderId="24" xfId="0" applyNumberFormat="1" applyFont="1" applyBorder="1" applyAlignment="1">
      <alignment horizontal="left"/>
    </xf>
    <xf numFmtId="166" fontId="35" fillId="0" borderId="86" xfId="0" applyNumberFormat="1" applyFont="1" applyBorder="1" applyAlignment="1">
      <alignment horizontal="left"/>
    </xf>
    <xf numFmtId="0" fontId="35" fillId="0" borderId="28" xfId="0" applyFont="1" applyBorder="1"/>
    <xf numFmtId="0" fontId="35" fillId="0" borderId="103" xfId="0" applyFont="1" applyBorder="1"/>
    <xf numFmtId="0" fontId="35" fillId="0" borderId="87" xfId="0" applyFont="1" applyBorder="1"/>
    <xf numFmtId="0" fontId="35" fillId="0" borderId="87" xfId="0" applyFont="1" applyBorder="1" applyAlignment="1">
      <alignment wrapText="1"/>
    </xf>
    <xf numFmtId="0" fontId="35" fillId="0" borderId="88" xfId="0" applyFont="1" applyBorder="1"/>
    <xf numFmtId="0" fontId="35" fillId="0" borderId="64" xfId="0" applyFont="1" applyBorder="1" applyAlignment="1">
      <alignment wrapText="1"/>
    </xf>
    <xf numFmtId="0" fontId="35" fillId="0" borderId="68" xfId="0" applyFont="1" applyBorder="1"/>
    <xf numFmtId="0" fontId="35" fillId="0" borderId="103" xfId="0" applyFont="1" applyBorder="1" applyAlignment="1">
      <alignment wrapText="1"/>
    </xf>
    <xf numFmtId="0" fontId="35" fillId="0" borderId="88" xfId="0" applyFont="1" applyBorder="1" applyAlignment="1">
      <alignment wrapText="1"/>
    </xf>
    <xf numFmtId="0" fontId="35" fillId="0" borderId="68" xfId="0" applyFont="1" applyBorder="1" applyAlignment="1">
      <alignment wrapText="1"/>
    </xf>
    <xf numFmtId="0" fontId="35" fillId="0" borderId="34" xfId="0" applyFont="1" applyBorder="1" applyAlignment="1">
      <alignment wrapText="1"/>
    </xf>
    <xf numFmtId="0" fontId="35" fillId="0" borderId="28" xfId="0" applyFont="1" applyBorder="1" applyAlignment="1">
      <alignment horizontal="left" vertical="top" wrapText="1"/>
    </xf>
    <xf numFmtId="0" fontId="35" fillId="0" borderId="64" xfId="0" applyFont="1" applyBorder="1" applyAlignment="1">
      <alignment horizontal="left" vertical="top" wrapText="1"/>
    </xf>
    <xf numFmtId="0" fontId="35" fillId="0" borderId="26" xfId="0" applyFont="1" applyBorder="1" applyAlignment="1">
      <alignment horizontal="left" vertical="top" wrapText="1"/>
    </xf>
    <xf numFmtId="0" fontId="35" fillId="0" borderId="81" xfId="0" applyFont="1" applyBorder="1" applyAlignment="1">
      <alignment wrapText="1"/>
    </xf>
    <xf numFmtId="0" fontId="35" fillId="0" borderId="68" xfId="0" applyFont="1" applyBorder="1" applyAlignment="1">
      <alignment horizontal="left" vertical="top" wrapText="1"/>
    </xf>
    <xf numFmtId="0" fontId="35" fillId="0" borderId="58" xfId="0" applyFont="1" applyBorder="1" applyAlignment="1">
      <alignment horizontal="left" vertical="top" wrapText="1"/>
    </xf>
    <xf numFmtId="0" fontId="35" fillId="0" borderId="87" xfId="0" applyFont="1" applyBorder="1" applyAlignment="1">
      <alignment horizontal="left" wrapText="1"/>
    </xf>
    <xf numFmtId="165" fontId="29" fillId="0" borderId="52" xfId="1" applyNumberFormat="1" applyFont="1" applyBorder="1"/>
    <xf numFmtId="165" fontId="5" fillId="0" borderId="52" xfId="1" applyNumberFormat="1" applyFont="1" applyBorder="1"/>
    <xf numFmtId="165" fontId="5" fillId="0" borderId="64" xfId="1" applyNumberFormat="1" applyFont="1" applyBorder="1"/>
    <xf numFmtId="0" fontId="42" fillId="6" borderId="38" xfId="0" applyFont="1" applyFill="1" applyBorder="1" applyAlignment="1">
      <alignment horizontal="left" vertical="center" wrapText="1"/>
    </xf>
    <xf numFmtId="0" fontId="42" fillId="6" borderId="21" xfId="0" applyFont="1" applyFill="1" applyBorder="1" applyAlignment="1">
      <alignment horizontal="center" vertical="center" wrapText="1"/>
    </xf>
    <xf numFmtId="0" fontId="42" fillId="6" borderId="42" xfId="0" applyFont="1" applyFill="1" applyBorder="1" applyAlignment="1">
      <alignment horizontal="center" vertical="center" wrapText="1"/>
    </xf>
    <xf numFmtId="0" fontId="42" fillId="6" borderId="85" xfId="0" applyFont="1" applyFill="1" applyBorder="1" applyAlignment="1">
      <alignment horizontal="center" vertical="center" wrapText="1"/>
    </xf>
    <xf numFmtId="0" fontId="42" fillId="6" borderId="43" xfId="0" applyFont="1" applyFill="1" applyBorder="1" applyAlignment="1">
      <alignment horizontal="left" vertical="center" wrapText="1"/>
    </xf>
    <xf numFmtId="14" fontId="14" fillId="0" borderId="0" xfId="0" applyNumberFormat="1" applyFont="1" applyAlignment="1">
      <alignment horizontal="center"/>
    </xf>
    <xf numFmtId="14" fontId="14" fillId="0" borderId="0" xfId="0" applyNumberFormat="1" applyFont="1" applyAlignment="1">
      <alignment horizontal="left"/>
    </xf>
    <xf numFmtId="0" fontId="43" fillId="0" borderId="0" xfId="0" applyFont="1" applyAlignment="1">
      <alignment horizontal="center"/>
    </xf>
    <xf numFmtId="0" fontId="43" fillId="0" borderId="0" xfId="0" applyFont="1"/>
    <xf numFmtId="0" fontId="34" fillId="20" borderId="11" xfId="0" applyFont="1" applyFill="1" applyBorder="1" applyAlignment="1">
      <alignment horizontal="center"/>
    </xf>
    <xf numFmtId="0" fontId="25" fillId="0" borderId="11" xfId="0" applyFont="1" applyBorder="1"/>
    <xf numFmtId="166" fontId="25" fillId="0" borderId="11" xfId="0" applyNumberFormat="1" applyFont="1" applyBorder="1"/>
    <xf numFmtId="166" fontId="25" fillId="0" borderId="11" xfId="0" applyNumberFormat="1" applyFont="1" applyBorder="1" applyAlignment="1">
      <alignment horizontal="right"/>
    </xf>
    <xf numFmtId="166" fontId="43" fillId="0" borderId="11" xfId="0" applyNumberFormat="1" applyFont="1" applyBorder="1"/>
    <xf numFmtId="166" fontId="25" fillId="0" borderId="90" xfId="0" applyNumberFormat="1" applyFont="1" applyBorder="1"/>
    <xf numFmtId="0" fontId="25" fillId="0" borderId="10" xfId="0" applyFont="1" applyBorder="1"/>
    <xf numFmtId="166" fontId="25" fillId="0" borderId="10" xfId="0" applyNumberFormat="1" applyFont="1" applyBorder="1"/>
    <xf numFmtId="0" fontId="25" fillId="0" borderId="11" xfId="0" applyFont="1" applyBorder="1" applyAlignment="1">
      <alignment horizontal="right"/>
    </xf>
    <xf numFmtId="10" fontId="43" fillId="0" borderId="11" xfId="0" applyNumberFormat="1" applyFont="1" applyBorder="1"/>
    <xf numFmtId="0" fontId="25" fillId="19" borderId="11" xfId="0" applyFont="1" applyFill="1" applyBorder="1"/>
    <xf numFmtId="0" fontId="25" fillId="19" borderId="90" xfId="0" applyFont="1" applyFill="1" applyBorder="1"/>
    <xf numFmtId="0" fontId="41" fillId="21" borderId="30" xfId="0" applyFont="1" applyFill="1" applyBorder="1"/>
    <xf numFmtId="0" fontId="34" fillId="20" borderId="10" xfId="0" applyFont="1" applyFill="1" applyBorder="1"/>
    <xf numFmtId="0" fontId="34" fillId="20" borderId="10" xfId="0" applyFont="1" applyFill="1" applyBorder="1" applyAlignment="1">
      <alignment horizontal="center"/>
    </xf>
    <xf numFmtId="0" fontId="25" fillId="21" borderId="70" xfId="0" applyFont="1" applyFill="1" applyBorder="1"/>
    <xf numFmtId="8" fontId="0" fillId="0" borderId="0" xfId="0" applyNumberFormat="1"/>
    <xf numFmtId="166" fontId="25" fillId="22" borderId="11" xfId="0" applyNumberFormat="1" applyFont="1" applyFill="1" applyBorder="1"/>
    <xf numFmtId="166" fontId="43" fillId="22" borderId="11" xfId="0" applyNumberFormat="1" applyFont="1" applyFill="1" applyBorder="1"/>
    <xf numFmtId="166" fontId="25" fillId="22" borderId="90" xfId="0" applyNumberFormat="1" applyFont="1" applyFill="1" applyBorder="1"/>
    <xf numFmtId="166" fontId="25" fillId="22" borderId="10" xfId="0" applyNumberFormat="1" applyFont="1" applyFill="1" applyBorder="1"/>
    <xf numFmtId="10" fontId="43" fillId="22" borderId="11" xfId="0" applyNumberFormat="1" applyFont="1" applyFill="1" applyBorder="1"/>
    <xf numFmtId="0" fontId="35" fillId="22" borderId="58" xfId="0" applyFont="1" applyFill="1" applyBorder="1" applyAlignment="1">
      <alignment horizontal="left" vertical="top" wrapText="1"/>
    </xf>
    <xf numFmtId="8" fontId="25" fillId="0" borderId="3" xfId="0" applyNumberFormat="1" applyFont="1" applyBorder="1" applyAlignment="1">
      <alignment horizontal="left" vertical="top" wrapText="1"/>
    </xf>
    <xf numFmtId="0" fontId="25" fillId="0" borderId="3" xfId="0" applyFont="1" applyBorder="1" applyAlignment="1">
      <alignment horizontal="left" vertical="top" wrapText="1"/>
    </xf>
    <xf numFmtId="8" fontId="25" fillId="0" borderId="3" xfId="0" applyNumberFormat="1" applyFont="1" applyBorder="1" applyAlignment="1">
      <alignment vertical="top" wrapText="1"/>
    </xf>
    <xf numFmtId="166" fontId="5" fillId="0" borderId="30" xfId="0" applyNumberFormat="1" applyFont="1" applyBorder="1"/>
    <xf numFmtId="16" fontId="35" fillId="0" borderId="30" xfId="0" applyNumberFormat="1" applyFont="1" applyBorder="1" applyAlignment="1">
      <alignment horizontal="center"/>
    </xf>
    <xf numFmtId="16" fontId="35" fillId="0" borderId="0" xfId="0" applyNumberFormat="1" applyFont="1" applyAlignment="1">
      <alignment horizontal="center"/>
    </xf>
    <xf numFmtId="8" fontId="25" fillId="0" borderId="10" xfId="0" applyNumberFormat="1" applyFont="1" applyBorder="1" applyAlignment="1">
      <alignment horizontal="right" vertical="top" wrapText="1"/>
    </xf>
    <xf numFmtId="165" fontId="25" fillId="0" borderId="17" xfId="0" applyNumberFormat="1" applyFont="1" applyBorder="1" applyAlignment="1">
      <alignment horizontal="center"/>
    </xf>
    <xf numFmtId="164" fontId="25" fillId="0" borderId="17" xfId="0" applyNumberFormat="1" applyFont="1" applyBorder="1" applyAlignment="1">
      <alignment horizontal="center"/>
    </xf>
    <xf numFmtId="166" fontId="25" fillId="0" borderId="17" xfId="0" applyNumberFormat="1" applyFont="1" applyBorder="1" applyAlignment="1">
      <alignment horizontal="center"/>
    </xf>
    <xf numFmtId="165" fontId="25" fillId="0" borderId="104" xfId="0" applyNumberFormat="1" applyFont="1" applyBorder="1" applyAlignment="1">
      <alignment horizontal="center"/>
    </xf>
    <xf numFmtId="8" fontId="25" fillId="0" borderId="16" xfId="0" applyNumberFormat="1" applyFont="1" applyBorder="1" applyAlignment="1">
      <alignment horizontal="right" vertical="top" wrapText="1"/>
    </xf>
    <xf numFmtId="0" fontId="25" fillId="12" borderId="17" xfId="0" applyFont="1" applyFill="1" applyBorder="1" applyAlignment="1">
      <alignment horizontal="center" vertical="top" wrapText="1"/>
    </xf>
    <xf numFmtId="166" fontId="43" fillId="0" borderId="11" xfId="0" applyNumberFormat="1" applyFont="1" applyBorder="1" applyAlignment="1">
      <alignment horizontal="center"/>
    </xf>
    <xf numFmtId="165" fontId="43" fillId="0" borderId="90" xfId="0" applyNumberFormat="1" applyFont="1" applyBorder="1" applyAlignment="1">
      <alignment horizontal="center"/>
    </xf>
    <xf numFmtId="0" fontId="38" fillId="13" borderId="48" xfId="0" quotePrefix="1" applyFont="1" applyFill="1" applyBorder="1"/>
    <xf numFmtId="0" fontId="38" fillId="23" borderId="30" xfId="0" quotePrefix="1" applyFont="1" applyFill="1" applyBorder="1"/>
    <xf numFmtId="0" fontId="38" fillId="23" borderId="44" xfId="0" quotePrefix="1" applyFont="1" applyFill="1" applyBorder="1"/>
    <xf numFmtId="0" fontId="38" fillId="12" borderId="30" xfId="0" applyFont="1" applyFill="1" applyBorder="1"/>
    <xf numFmtId="0" fontId="38" fillId="12" borderId="44" xfId="0" applyFont="1" applyFill="1" applyBorder="1"/>
    <xf numFmtId="165" fontId="39" fillId="21" borderId="0" xfId="1" applyNumberFormat="1" applyFont="1" applyFill="1" applyBorder="1"/>
    <xf numFmtId="166" fontId="35" fillId="22" borderId="37" xfId="0" applyNumberFormat="1" applyFont="1" applyFill="1" applyBorder="1" applyAlignment="1">
      <alignment horizontal="right"/>
    </xf>
    <xf numFmtId="166" fontId="40" fillId="22" borderId="66" xfId="0" applyNumberFormat="1" applyFont="1" applyFill="1" applyBorder="1" applyAlignment="1">
      <alignment horizontal="right"/>
    </xf>
    <xf numFmtId="166" fontId="40" fillId="22" borderId="96" xfId="0" applyNumberFormat="1" applyFont="1" applyFill="1" applyBorder="1" applyAlignment="1">
      <alignment horizontal="right"/>
    </xf>
    <xf numFmtId="166" fontId="35" fillId="22" borderId="0" xfId="0" applyNumberFormat="1" applyFont="1" applyFill="1" applyAlignment="1">
      <alignment horizontal="right"/>
    </xf>
    <xf numFmtId="166" fontId="39" fillId="22" borderId="4" xfId="0" applyNumberFormat="1" applyFont="1" applyFill="1" applyBorder="1"/>
    <xf numFmtId="10" fontId="38" fillId="22" borderId="44" xfId="0" applyNumberFormat="1" applyFont="1" applyFill="1" applyBorder="1"/>
    <xf numFmtId="166" fontId="38" fillId="22" borderId="50" xfId="0" applyNumberFormat="1" applyFont="1" applyFill="1" applyBorder="1"/>
    <xf numFmtId="166" fontId="38" fillId="22" borderId="44" xfId="0" applyNumberFormat="1" applyFont="1" applyFill="1" applyBorder="1"/>
    <xf numFmtId="166" fontId="39" fillId="22" borderId="44" xfId="0" applyNumberFormat="1" applyFont="1" applyFill="1" applyBorder="1"/>
    <xf numFmtId="165" fontId="39" fillId="22" borderId="50" xfId="1" applyNumberFormat="1" applyFont="1" applyFill="1" applyBorder="1"/>
    <xf numFmtId="0" fontId="42" fillId="6" borderId="38" xfId="0" applyFont="1" applyFill="1" applyBorder="1" applyAlignment="1">
      <alignment horizontal="center" vertical="center" wrapText="1"/>
    </xf>
    <xf numFmtId="166" fontId="35" fillId="0" borderId="43" xfId="0" applyNumberFormat="1" applyFont="1" applyBorder="1" applyAlignment="1">
      <alignment horizontal="left"/>
    </xf>
    <xf numFmtId="0" fontId="35" fillId="0" borderId="65" xfId="0" applyFont="1" applyBorder="1" applyAlignment="1">
      <alignment wrapText="1"/>
    </xf>
    <xf numFmtId="0" fontId="35" fillId="0" borderId="29" xfId="0" applyFont="1" applyBorder="1" applyAlignment="1">
      <alignment horizontal="left" wrapText="1"/>
    </xf>
    <xf numFmtId="0" fontId="35" fillId="0" borderId="66" xfId="0" applyFont="1" applyBorder="1" applyAlignment="1">
      <alignment wrapText="1"/>
    </xf>
    <xf numFmtId="0" fontId="35" fillId="0" borderId="0" xfId="0" applyFont="1" applyAlignment="1">
      <alignment wrapText="1"/>
    </xf>
    <xf numFmtId="0" fontId="35" fillId="0" borderId="67" xfId="0" applyFont="1" applyBorder="1" applyAlignment="1">
      <alignment wrapText="1"/>
    </xf>
    <xf numFmtId="0" fontId="35" fillId="0" borderId="61" xfId="0" applyFont="1" applyBorder="1" applyAlignment="1">
      <alignment wrapText="1"/>
    </xf>
    <xf numFmtId="0" fontId="35" fillId="0" borderId="0" xfId="0" applyFont="1" applyAlignment="1">
      <alignment horizontal="left" vertical="top" wrapText="1"/>
    </xf>
    <xf numFmtId="0" fontId="35" fillId="0" borderId="30" xfId="0" applyFont="1" applyBorder="1" applyAlignment="1">
      <alignment horizontal="left" vertical="top" wrapText="1"/>
    </xf>
    <xf numFmtId="0" fontId="35" fillId="0" borderId="61" xfId="0" applyFont="1" applyBorder="1" applyAlignment="1">
      <alignment horizontal="left" vertical="top" wrapText="1"/>
    </xf>
    <xf numFmtId="8" fontId="25" fillId="0" borderId="19" xfId="0" applyNumberFormat="1" applyFont="1" applyBorder="1" applyAlignment="1">
      <alignment vertical="top" wrapText="1"/>
    </xf>
    <xf numFmtId="0" fontId="25" fillId="0" borderId="104" xfId="0" applyFont="1" applyBorder="1" applyAlignment="1">
      <alignment horizontal="left" vertical="top" wrapText="1"/>
    </xf>
    <xf numFmtId="165" fontId="49" fillId="0" borderId="0" xfId="0" applyNumberFormat="1" applyFont="1" applyAlignment="1">
      <alignment horizontal="center" wrapText="1"/>
    </xf>
    <xf numFmtId="166" fontId="25" fillId="0" borderId="10" xfId="0" applyNumberFormat="1" applyFont="1" applyBorder="1" applyAlignment="1">
      <alignment horizontal="right"/>
    </xf>
    <xf numFmtId="0" fontId="42" fillId="6" borderId="39" xfId="0" applyFont="1" applyFill="1" applyBorder="1" applyAlignment="1">
      <alignment horizontal="center" vertical="center" wrapText="1"/>
    </xf>
    <xf numFmtId="0" fontId="42" fillId="6" borderId="37" xfId="0" applyFont="1" applyFill="1" applyBorder="1" applyAlignment="1">
      <alignment horizontal="center" vertical="center" wrapText="1"/>
    </xf>
    <xf numFmtId="3" fontId="47" fillId="0" borderId="66" xfId="0" applyNumberFormat="1" applyFont="1" applyBorder="1" applyAlignment="1">
      <alignment horizontal="center"/>
    </xf>
    <xf numFmtId="3" fontId="35" fillId="0" borderId="30" xfId="0" applyNumberFormat="1" applyFont="1" applyBorder="1" applyAlignment="1">
      <alignment horizontal="center"/>
    </xf>
    <xf numFmtId="3" fontId="35" fillId="0" borderId="0" xfId="0" applyNumberFormat="1" applyFont="1" applyAlignment="1">
      <alignment horizontal="center"/>
    </xf>
    <xf numFmtId="9" fontId="35" fillId="0" borderId="0" xfId="0" applyNumberFormat="1" applyFont="1" applyAlignment="1">
      <alignment horizontal="center"/>
    </xf>
    <xf numFmtId="164" fontId="35" fillId="0" borderId="0" xfId="0" applyNumberFormat="1" applyFont="1" applyAlignment="1">
      <alignment horizontal="right"/>
    </xf>
    <xf numFmtId="164" fontId="38" fillId="0" borderId="0" xfId="0" applyNumberFormat="1" applyFont="1"/>
    <xf numFmtId="166" fontId="38" fillId="0" borderId="4" xfId="0" applyNumberFormat="1" applyFont="1" applyBorder="1"/>
    <xf numFmtId="164" fontId="35" fillId="0" borderId="4" xfId="0" applyNumberFormat="1" applyFont="1" applyBorder="1" applyAlignment="1">
      <alignment horizontal="right"/>
    </xf>
    <xf numFmtId="166" fontId="38" fillId="23" borderId="0" xfId="0" applyNumberFormat="1" applyFont="1" applyFill="1"/>
    <xf numFmtId="166" fontId="38" fillId="12" borderId="0" xfId="0" applyNumberFormat="1" applyFont="1" applyFill="1"/>
    <xf numFmtId="166" fontId="38" fillId="12" borderId="4" xfId="0" applyNumberFormat="1" applyFont="1" applyFill="1" applyBorder="1"/>
    <xf numFmtId="166" fontId="29" fillId="0" borderId="55" xfId="0" applyNumberFormat="1" applyFont="1" applyBorder="1"/>
    <xf numFmtId="165" fontId="29" fillId="0" borderId="58" xfId="1" applyNumberFormat="1" applyFont="1" applyBorder="1"/>
    <xf numFmtId="165" fontId="49" fillId="0" borderId="0" xfId="0" applyNumberFormat="1" applyFont="1" applyAlignment="1">
      <alignment horizontal="center"/>
    </xf>
    <xf numFmtId="165" fontId="39" fillId="22" borderId="0" xfId="1" applyNumberFormat="1" applyFont="1" applyFill="1" applyBorder="1"/>
    <xf numFmtId="0" fontId="38" fillId="23" borderId="95" xfId="0" quotePrefix="1" applyFont="1" applyFill="1" applyBorder="1"/>
    <xf numFmtId="166" fontId="38" fillId="23" borderId="96" xfId="0" applyNumberFormat="1" applyFont="1" applyFill="1" applyBorder="1"/>
    <xf numFmtId="0" fontId="38" fillId="23" borderId="22" xfId="0" quotePrefix="1" applyFont="1" applyFill="1" applyBorder="1"/>
    <xf numFmtId="0" fontId="38" fillId="23" borderId="89" xfId="0" applyFont="1" applyFill="1" applyBorder="1"/>
    <xf numFmtId="0" fontId="42" fillId="24" borderId="37" xfId="0" applyFont="1" applyFill="1" applyBorder="1" applyAlignment="1">
      <alignment horizontal="center" vertical="center" wrapText="1"/>
    </xf>
    <xf numFmtId="166" fontId="38" fillId="13" borderId="7" xfId="0" applyNumberFormat="1" applyFont="1" applyFill="1" applyBorder="1" applyAlignment="1">
      <alignment horizontal="right"/>
    </xf>
    <xf numFmtId="166" fontId="35" fillId="0" borderId="4" xfId="0" applyNumberFormat="1" applyFont="1" applyBorder="1"/>
    <xf numFmtId="4" fontId="35" fillId="0" borderId="0" xfId="0" applyNumberFormat="1" applyFont="1" applyAlignment="1">
      <alignment horizontal="right"/>
    </xf>
    <xf numFmtId="164" fontId="35" fillId="22" borderId="4" xfId="0" applyNumberFormat="1" applyFont="1" applyFill="1" applyBorder="1" applyAlignment="1">
      <alignment horizontal="right"/>
    </xf>
    <xf numFmtId="166" fontId="38" fillId="0" borderId="7" xfId="0" applyNumberFormat="1" applyFont="1" applyBorder="1"/>
    <xf numFmtId="166" fontId="38" fillId="23" borderId="4" xfId="0" applyNumberFormat="1" applyFont="1" applyFill="1" applyBorder="1" applyAlignment="1">
      <alignment horizontal="right"/>
    </xf>
    <xf numFmtId="166" fontId="48" fillId="12" borderId="4" xfId="0" applyNumberFormat="1" applyFont="1" applyFill="1" applyBorder="1"/>
    <xf numFmtId="165" fontId="48" fillId="12" borderId="61" xfId="1" applyNumberFormat="1" applyFont="1" applyFill="1" applyBorder="1"/>
    <xf numFmtId="10" fontId="38" fillId="22" borderId="4" xfId="0" applyNumberFormat="1" applyFont="1" applyFill="1" applyBorder="1"/>
    <xf numFmtId="166" fontId="38" fillId="22" borderId="61" xfId="0" applyNumberFormat="1" applyFont="1" applyFill="1" applyBorder="1"/>
    <xf numFmtId="166" fontId="38" fillId="22" borderId="4" xfId="0" applyNumberFormat="1" applyFont="1" applyFill="1" applyBorder="1"/>
    <xf numFmtId="166" fontId="38" fillId="23" borderId="67" xfId="0" applyNumberFormat="1" applyFont="1" applyFill="1" applyBorder="1"/>
    <xf numFmtId="165" fontId="39" fillId="23" borderId="105" xfId="1" applyNumberFormat="1" applyFont="1" applyFill="1" applyBorder="1"/>
    <xf numFmtId="0" fontId="35" fillId="25" borderId="64" xfId="0" applyFont="1" applyFill="1" applyBorder="1" applyAlignment="1">
      <alignment horizontal="left" vertical="top" wrapText="1"/>
    </xf>
    <xf numFmtId="0" fontId="35" fillId="25" borderId="68" xfId="0" applyFont="1" applyFill="1" applyBorder="1" applyAlignment="1">
      <alignment horizontal="left" vertical="top" wrapText="1"/>
    </xf>
    <xf numFmtId="0" fontId="35" fillId="0" borderId="50" xfId="0" applyFont="1" applyBorder="1" applyAlignment="1">
      <alignment horizontal="left" vertical="top" wrapText="1"/>
    </xf>
    <xf numFmtId="0" fontId="35" fillId="0" borderId="34" xfId="0" applyFont="1" applyBorder="1" applyAlignment="1">
      <alignment horizontal="left" vertical="top" wrapText="1"/>
    </xf>
    <xf numFmtId="0" fontId="35" fillId="0" borderId="17" xfId="0" applyFont="1" applyBorder="1"/>
    <xf numFmtId="166" fontId="35" fillId="0" borderId="17" xfId="0" applyNumberFormat="1" applyFont="1" applyBorder="1" applyAlignment="1">
      <alignment horizontal="left"/>
    </xf>
    <xf numFmtId="0" fontId="35" fillId="0" borderId="18" xfId="0" applyFont="1" applyBorder="1"/>
    <xf numFmtId="0" fontId="50" fillId="0" borderId="0" xfId="0" applyFont="1"/>
    <xf numFmtId="0" fontId="50" fillId="0" borderId="0" xfId="0" applyFont="1" applyAlignment="1">
      <alignment horizontal="center"/>
    </xf>
    <xf numFmtId="0" fontId="38" fillId="12" borderId="48" xfId="0" applyFont="1" applyFill="1" applyBorder="1"/>
    <xf numFmtId="0" fontId="38" fillId="12" borderId="102" xfId="0" applyFont="1" applyFill="1" applyBorder="1"/>
    <xf numFmtId="0" fontId="25" fillId="21" borderId="50" xfId="0" applyFont="1" applyFill="1" applyBorder="1"/>
    <xf numFmtId="0" fontId="25" fillId="21" borderId="61" xfId="0" applyFont="1" applyFill="1" applyBorder="1"/>
    <xf numFmtId="0" fontId="34" fillId="20" borderId="20" xfId="0" applyFont="1" applyFill="1" applyBorder="1"/>
    <xf numFmtId="0" fontId="34" fillId="20" borderId="41" xfId="0" applyFont="1" applyFill="1" applyBorder="1" applyAlignment="1">
      <alignment horizontal="center"/>
    </xf>
    <xf numFmtId="0" fontId="34" fillId="20" borderId="42" xfId="0" applyFont="1" applyFill="1" applyBorder="1" applyAlignment="1">
      <alignment horizontal="center"/>
    </xf>
    <xf numFmtId="0" fontId="34" fillId="20" borderId="23" xfId="0" applyFont="1" applyFill="1" applyBorder="1"/>
    <xf numFmtId="0" fontId="34" fillId="20" borderId="24" xfId="0" applyFont="1" applyFill="1" applyBorder="1" applyAlignment="1">
      <alignment horizontal="center"/>
    </xf>
    <xf numFmtId="0" fontId="25" fillId="0" borderId="23" xfId="0" applyFont="1" applyBorder="1"/>
    <xf numFmtId="166" fontId="25" fillId="0" borderId="24" xfId="0" applyNumberFormat="1" applyFont="1" applyBorder="1" applyAlignment="1">
      <alignment horizontal="right"/>
    </xf>
    <xf numFmtId="166" fontId="25" fillId="0" borderId="24" xfId="0" applyNumberFormat="1" applyFont="1" applyBorder="1"/>
    <xf numFmtId="0" fontId="25" fillId="0" borderId="22" xfId="0" applyFont="1" applyBorder="1"/>
    <xf numFmtId="166" fontId="25" fillId="0" borderId="33" xfId="0" applyNumberFormat="1" applyFont="1" applyBorder="1" applyAlignment="1">
      <alignment horizontal="right"/>
    </xf>
    <xf numFmtId="0" fontId="25" fillId="0" borderId="31" xfId="0" applyFont="1" applyBorder="1"/>
    <xf numFmtId="166" fontId="25" fillId="0" borderId="32" xfId="0" applyNumberFormat="1" applyFont="1" applyBorder="1" applyAlignment="1">
      <alignment horizontal="right"/>
    </xf>
    <xf numFmtId="166" fontId="25" fillId="0" borderId="34" xfId="0" applyNumberFormat="1" applyFont="1" applyBorder="1" applyAlignment="1">
      <alignment horizontal="right"/>
    </xf>
    <xf numFmtId="10" fontId="25" fillId="9" borderId="17" xfId="0" applyNumberFormat="1" applyFont="1" applyFill="1" applyBorder="1" applyAlignment="1">
      <alignment horizontal="center" vertical="top" wrapText="1"/>
    </xf>
    <xf numFmtId="0" fontId="44" fillId="0" borderId="0" xfId="0" applyFont="1" applyAlignment="1">
      <alignment vertical="top" wrapText="1"/>
    </xf>
    <xf numFmtId="0" fontId="36" fillId="14" borderId="39" xfId="0" applyFont="1" applyFill="1" applyBorder="1" applyAlignment="1">
      <alignment horizontal="center"/>
    </xf>
    <xf numFmtId="0" fontId="36" fillId="14" borderId="37" xfId="0" applyFont="1" applyFill="1" applyBorder="1" applyAlignment="1">
      <alignment horizontal="center"/>
    </xf>
    <xf numFmtId="0" fontId="25" fillId="0" borderId="0" xfId="0" applyFont="1" applyAlignment="1">
      <alignment horizontal="left" vertical="top" wrapText="1"/>
    </xf>
    <xf numFmtId="8" fontId="25" fillId="0" borderId="37" xfId="0" applyNumberFormat="1" applyFont="1" applyBorder="1" applyAlignment="1">
      <alignment horizontal="left" vertical="top" wrapText="1"/>
    </xf>
    <xf numFmtId="0" fontId="25" fillId="0" borderId="66" xfId="0" applyFont="1" applyBorder="1" applyAlignment="1">
      <alignment horizontal="left" vertical="top" wrapText="1"/>
    </xf>
    <xf numFmtId="0" fontId="25" fillId="0" borderId="66" xfId="0" applyFont="1" applyBorder="1" applyAlignment="1">
      <alignment vertical="top" wrapText="1"/>
    </xf>
    <xf numFmtId="0" fontId="25" fillId="0" borderId="0" xfId="0" applyFont="1" applyAlignment="1">
      <alignment vertical="top" wrapText="1"/>
    </xf>
    <xf numFmtId="0" fontId="25" fillId="0" borderId="67" xfId="0" applyFont="1" applyBorder="1" applyAlignment="1">
      <alignment horizontal="left" vertical="top" wrapText="1"/>
    </xf>
    <xf numFmtId="8" fontId="25" fillId="0" borderId="0" xfId="0" applyNumberFormat="1" applyFont="1" applyAlignment="1">
      <alignment vertical="top" wrapText="1"/>
    </xf>
    <xf numFmtId="8" fontId="25" fillId="0" borderId="67" xfId="0" applyNumberFormat="1" applyFont="1" applyBorder="1" applyAlignment="1">
      <alignment horizontal="right" vertical="top" wrapText="1"/>
    </xf>
    <xf numFmtId="0" fontId="25" fillId="0" borderId="105" xfId="0" applyFont="1" applyBorder="1" applyAlignment="1">
      <alignment horizontal="left" vertical="top" wrapText="1"/>
    </xf>
    <xf numFmtId="8" fontId="25" fillId="0" borderId="33" xfId="0" applyNumberFormat="1" applyFont="1" applyBorder="1" applyAlignment="1">
      <alignment horizontal="right" vertical="top" wrapText="1"/>
    </xf>
    <xf numFmtId="0" fontId="36" fillId="14" borderId="36" xfId="0" applyFont="1" applyFill="1" applyBorder="1" applyAlignment="1">
      <alignment horizontal="center"/>
    </xf>
    <xf numFmtId="0" fontId="36" fillId="14" borderId="53" xfId="0" applyFont="1" applyFill="1" applyBorder="1" applyAlignment="1">
      <alignment horizontal="center"/>
    </xf>
    <xf numFmtId="165" fontId="25" fillId="0" borderId="54" xfId="0" applyNumberFormat="1" applyFont="1" applyBorder="1" applyAlignment="1">
      <alignment horizontal="center"/>
    </xf>
    <xf numFmtId="164" fontId="25" fillId="0" borderId="54" xfId="0" applyNumberFormat="1" applyFont="1" applyBorder="1" applyAlignment="1">
      <alignment horizontal="center"/>
    </xf>
    <xf numFmtId="166" fontId="25" fillId="0" borderId="54" xfId="0" applyNumberFormat="1" applyFont="1" applyBorder="1" applyAlignment="1">
      <alignment horizontal="center"/>
    </xf>
    <xf numFmtId="0" fontId="25" fillId="23" borderId="22" xfId="0" applyFont="1" applyFill="1" applyBorder="1"/>
    <xf numFmtId="166" fontId="25" fillId="23" borderId="10" xfId="0" applyNumberFormat="1" applyFont="1" applyFill="1" applyBorder="1"/>
    <xf numFmtId="166" fontId="25" fillId="23" borderId="33" xfId="0" applyNumberFormat="1" applyFont="1" applyFill="1" applyBorder="1"/>
    <xf numFmtId="0" fontId="25" fillId="23" borderId="23" xfId="0" applyFont="1" applyFill="1" applyBorder="1"/>
    <xf numFmtId="0" fontId="25" fillId="23" borderId="11" xfId="0" applyFont="1" applyFill="1" applyBorder="1" applyAlignment="1">
      <alignment horizontal="right"/>
    </xf>
    <xf numFmtId="166" fontId="43" fillId="23" borderId="11" xfId="0" applyNumberFormat="1" applyFont="1" applyFill="1" applyBorder="1" applyAlignment="1">
      <alignment horizontal="right"/>
    </xf>
    <xf numFmtId="166" fontId="25" fillId="23" borderId="24" xfId="0" applyNumberFormat="1" applyFont="1" applyFill="1" applyBorder="1"/>
    <xf numFmtId="0" fontId="25" fillId="23" borderId="89" xfId="0" applyFont="1" applyFill="1" applyBorder="1"/>
    <xf numFmtId="0" fontId="25" fillId="23" borderId="90" xfId="0" applyFont="1" applyFill="1" applyBorder="1" applyAlignment="1">
      <alignment horizontal="right"/>
    </xf>
    <xf numFmtId="10" fontId="43" fillId="23" borderId="90" xfId="0" applyNumberFormat="1" applyFont="1" applyFill="1" applyBorder="1"/>
    <xf numFmtId="10" fontId="25" fillId="23" borderId="99" xfId="0" applyNumberFormat="1" applyFont="1" applyFill="1" applyBorder="1"/>
    <xf numFmtId="6" fontId="25" fillId="0" borderId="16" xfId="0" applyNumberFormat="1" applyFont="1" applyBorder="1" applyAlignment="1">
      <alignment horizontal="right" vertical="top" wrapText="1"/>
    </xf>
    <xf numFmtId="10" fontId="24" fillId="0" borderId="17" xfId="0" applyNumberFormat="1" applyFont="1" applyBorder="1" applyAlignment="1">
      <alignment vertical="center" wrapText="1"/>
    </xf>
    <xf numFmtId="0" fontId="23" fillId="0" borderId="17" xfId="0" applyFont="1" applyBorder="1" applyAlignment="1">
      <alignment horizontal="left" vertical="center" wrapText="1" indent="4"/>
    </xf>
    <xf numFmtId="0" fontId="24" fillId="0" borderId="17" xfId="0" applyFont="1" applyBorder="1" applyAlignment="1">
      <alignment vertical="center" wrapText="1"/>
    </xf>
    <xf numFmtId="0" fontId="25" fillId="0" borderId="18" xfId="0" applyFont="1" applyBorder="1"/>
    <xf numFmtId="0" fontId="34" fillId="20" borderId="21" xfId="0" applyFont="1" applyFill="1" applyBorder="1" applyAlignment="1">
      <alignment horizontal="center"/>
    </xf>
    <xf numFmtId="0" fontId="34" fillId="20" borderId="17" xfId="0" applyFont="1" applyFill="1" applyBorder="1" applyAlignment="1">
      <alignment horizontal="center"/>
    </xf>
    <xf numFmtId="166" fontId="25" fillId="0" borderId="17" xfId="0" applyNumberFormat="1" applyFont="1" applyBorder="1"/>
    <xf numFmtId="166" fontId="25" fillId="9" borderId="17" xfId="0" applyNumberFormat="1" applyFont="1" applyFill="1" applyBorder="1" applyAlignment="1">
      <alignment horizontal="right"/>
    </xf>
    <xf numFmtId="166" fontId="25" fillId="9" borderId="17" xfId="0" applyNumberFormat="1" applyFont="1" applyFill="1" applyBorder="1"/>
    <xf numFmtId="166" fontId="25" fillId="9" borderId="16" xfId="0" applyNumberFormat="1" applyFont="1" applyFill="1" applyBorder="1"/>
    <xf numFmtId="166" fontId="43" fillId="9" borderId="35" xfId="0" applyNumberFormat="1" applyFont="1" applyFill="1" applyBorder="1"/>
    <xf numFmtId="166" fontId="25" fillId="23" borderId="16" xfId="0" applyNumberFormat="1" applyFont="1" applyFill="1" applyBorder="1"/>
    <xf numFmtId="166" fontId="25" fillId="23" borderId="17" xfId="0" applyNumberFormat="1" applyFont="1" applyFill="1" applyBorder="1" applyAlignment="1">
      <alignment horizontal="right"/>
    </xf>
    <xf numFmtId="10" fontId="25" fillId="23" borderId="104" xfId="0" applyNumberFormat="1" applyFont="1" applyFill="1" applyBorder="1"/>
    <xf numFmtId="0" fontId="34" fillId="20" borderId="16" xfId="0" applyFont="1" applyFill="1" applyBorder="1" applyAlignment="1">
      <alignment horizontal="center"/>
    </xf>
    <xf numFmtId="166" fontId="43" fillId="0" borderId="17" xfId="0" applyNumberFormat="1" applyFont="1" applyBorder="1"/>
    <xf numFmtId="166" fontId="25" fillId="0" borderId="104" xfId="0" applyNumberFormat="1" applyFont="1" applyBorder="1"/>
    <xf numFmtId="166" fontId="25" fillId="0" borderId="16" xfId="0" applyNumberFormat="1" applyFont="1" applyBorder="1"/>
    <xf numFmtId="0" fontId="25" fillId="0" borderId="17" xfId="0" applyFont="1" applyBorder="1" applyAlignment="1">
      <alignment horizontal="right"/>
    </xf>
    <xf numFmtId="0" fontId="42" fillId="6" borderId="24" xfId="0" applyFont="1" applyFill="1" applyBorder="1" applyAlignment="1">
      <alignment horizontal="center" vertical="center" wrapText="1"/>
    </xf>
    <xf numFmtId="16" fontId="35" fillId="0" borderId="26" xfId="0" applyNumberFormat="1" applyFont="1" applyBorder="1" applyAlignment="1">
      <alignment horizontal="center"/>
    </xf>
    <xf numFmtId="3" fontId="35" fillId="0" borderId="26" xfId="0" applyNumberFormat="1" applyFont="1" applyBorder="1" applyAlignment="1">
      <alignment horizontal="center"/>
    </xf>
    <xf numFmtId="9" fontId="35" fillId="0" borderId="26" xfId="0" applyNumberFormat="1" applyFont="1" applyBorder="1" applyAlignment="1">
      <alignment horizontal="center"/>
    </xf>
    <xf numFmtId="166" fontId="35" fillId="0" borderId="26" xfId="0" applyNumberFormat="1" applyFont="1" applyBorder="1"/>
    <xf numFmtId="0" fontId="38" fillId="0" borderId="47" xfId="0" applyFont="1" applyBorder="1"/>
    <xf numFmtId="164" fontId="38" fillId="0" borderId="26" xfId="0" applyNumberFormat="1" applyFont="1" applyBorder="1"/>
    <xf numFmtId="166" fontId="38" fillId="0" borderId="45" xfId="0" applyNumberFormat="1" applyFont="1" applyBorder="1"/>
    <xf numFmtId="166" fontId="38" fillId="0" borderId="26" xfId="0" applyNumberFormat="1" applyFont="1" applyBorder="1"/>
    <xf numFmtId="164" fontId="35" fillId="0" borderId="26" xfId="0" applyNumberFormat="1" applyFont="1" applyBorder="1" applyAlignment="1">
      <alignment horizontal="right"/>
    </xf>
    <xf numFmtId="164" fontId="35" fillId="0" borderId="45" xfId="0" applyNumberFormat="1" applyFont="1" applyBorder="1" applyAlignment="1">
      <alignment horizontal="right"/>
    </xf>
    <xf numFmtId="166" fontId="38" fillId="0" borderId="49" xfId="0" applyNumberFormat="1" applyFont="1" applyBorder="1"/>
    <xf numFmtId="166" fontId="38" fillId="12" borderId="26" xfId="0" applyNumberFormat="1" applyFont="1" applyFill="1" applyBorder="1"/>
    <xf numFmtId="166" fontId="38" fillId="12" borderId="45" xfId="0" applyNumberFormat="1" applyFont="1" applyFill="1" applyBorder="1"/>
    <xf numFmtId="166" fontId="35" fillId="9" borderId="24" xfId="0" applyNumberFormat="1" applyFont="1" applyFill="1" applyBorder="1" applyAlignment="1">
      <alignment horizontal="right"/>
    </xf>
    <xf numFmtId="166" fontId="40" fillId="9" borderId="28" xfId="0" applyNumberFormat="1" applyFont="1" applyFill="1" applyBorder="1" applyAlignment="1">
      <alignment horizontal="right"/>
    </xf>
    <xf numFmtId="166" fontId="35" fillId="9" borderId="98" xfId="0" applyNumberFormat="1" applyFont="1" applyFill="1" applyBorder="1" applyAlignment="1">
      <alignment horizontal="right"/>
    </xf>
    <xf numFmtId="166" fontId="35" fillId="9" borderId="26" xfId="0" applyNumberFormat="1" applyFont="1" applyFill="1" applyBorder="1" applyAlignment="1">
      <alignment horizontal="right"/>
    </xf>
    <xf numFmtId="166" fontId="38" fillId="23" borderId="26" xfId="0" applyNumberFormat="1" applyFont="1" applyFill="1" applyBorder="1"/>
    <xf numFmtId="166" fontId="38" fillId="23" borderId="98" xfId="0" applyNumberFormat="1" applyFont="1" applyFill="1" applyBorder="1"/>
    <xf numFmtId="0" fontId="43" fillId="0" borderId="19" xfId="0" applyFont="1" applyBorder="1" applyAlignment="1">
      <alignment horizontal="center"/>
    </xf>
    <xf numFmtId="165" fontId="24" fillId="0" borderId="24"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9" fontId="24" fillId="0" borderId="24" xfId="0" applyNumberFormat="1" applyFont="1" applyBorder="1" applyAlignment="1">
      <alignment horizontal="center" vertical="center"/>
    </xf>
    <xf numFmtId="0" fontId="0" fillId="0" borderId="19" xfId="0" applyBorder="1"/>
    <xf numFmtId="165" fontId="25" fillId="0" borderId="19" xfId="0" applyNumberFormat="1" applyFont="1" applyBorder="1" applyAlignment="1">
      <alignment horizontal="center"/>
    </xf>
    <xf numFmtId="166" fontId="2" fillId="12" borderId="35" xfId="0" applyNumberFormat="1" applyFont="1" applyFill="1" applyBorder="1" applyAlignment="1">
      <alignment horizontal="center" vertical="top" wrapText="1"/>
    </xf>
    <xf numFmtId="164" fontId="0" fillId="0" borderId="19" xfId="0" applyNumberFormat="1" applyBorder="1"/>
    <xf numFmtId="0" fontId="25" fillId="21" borderId="35" xfId="0" applyFont="1" applyFill="1" applyBorder="1"/>
    <xf numFmtId="0" fontId="25" fillId="0" borderId="19" xfId="0" applyFont="1" applyBorder="1"/>
    <xf numFmtId="166" fontId="38" fillId="23" borderId="45" xfId="0" applyNumberFormat="1" applyFont="1" applyFill="1" applyBorder="1"/>
    <xf numFmtId="0" fontId="42" fillId="6" borderId="17" xfId="0" applyFont="1" applyFill="1" applyBorder="1" applyAlignment="1">
      <alignment horizontal="center" vertical="center" wrapText="1"/>
    </xf>
    <xf numFmtId="166" fontId="38" fillId="13" borderId="63" xfId="0" applyNumberFormat="1" applyFont="1" applyFill="1" applyBorder="1" applyAlignment="1">
      <alignment horizontal="right"/>
    </xf>
    <xf numFmtId="3" fontId="38" fillId="0" borderId="18" xfId="0" applyNumberFormat="1" applyFont="1" applyBorder="1" applyAlignment="1">
      <alignment horizontal="center"/>
    </xf>
    <xf numFmtId="16" fontId="35" fillId="0" borderId="19" xfId="0" applyNumberFormat="1" applyFont="1" applyBorder="1" applyAlignment="1">
      <alignment horizontal="center"/>
    </xf>
    <xf numFmtId="3" fontId="35" fillId="0" borderId="19" xfId="0" applyNumberFormat="1" applyFont="1" applyBorder="1" applyAlignment="1">
      <alignment horizontal="center"/>
    </xf>
    <xf numFmtId="9" fontId="35" fillId="0" borderId="19" xfId="0" applyNumberFormat="1" applyFont="1" applyBorder="1" applyAlignment="1">
      <alignment horizontal="center"/>
    </xf>
    <xf numFmtId="164" fontId="35" fillId="0" borderId="19" xfId="0" applyNumberFormat="1" applyFont="1" applyBorder="1"/>
    <xf numFmtId="0" fontId="35" fillId="0" borderId="19" xfId="0" applyFont="1" applyBorder="1"/>
    <xf numFmtId="166" fontId="35" fillId="0" borderId="19" xfId="0" applyNumberFormat="1" applyFont="1" applyBorder="1"/>
    <xf numFmtId="166" fontId="35" fillId="0" borderId="59" xfId="0" applyNumberFormat="1" applyFont="1" applyBorder="1"/>
    <xf numFmtId="164" fontId="35" fillId="0" borderId="19" xfId="0" applyNumberFormat="1" applyFont="1" applyBorder="1" applyAlignment="1">
      <alignment horizontal="right"/>
    </xf>
    <xf numFmtId="4" fontId="35" fillId="0" borderId="19" xfId="0" applyNumberFormat="1" applyFont="1" applyBorder="1" applyAlignment="1">
      <alignment horizontal="right"/>
    </xf>
    <xf numFmtId="0" fontId="38" fillId="0" borderId="60" xfId="0" applyFont="1" applyBorder="1"/>
    <xf numFmtId="164" fontId="38" fillId="9" borderId="19" xfId="0" applyNumberFormat="1" applyFont="1" applyFill="1" applyBorder="1"/>
    <xf numFmtId="164" fontId="38" fillId="0" borderId="19" xfId="0" applyNumberFormat="1" applyFont="1" applyBorder="1"/>
    <xf numFmtId="166" fontId="38" fillId="0" borderId="19" xfId="0" applyNumberFormat="1" applyFont="1" applyBorder="1"/>
    <xf numFmtId="166" fontId="38" fillId="0" borderId="19" xfId="0" applyNumberFormat="1" applyFont="1" applyBorder="1" applyAlignment="1">
      <alignment horizontal="right"/>
    </xf>
    <xf numFmtId="164" fontId="35" fillId="0" borderId="59" xfId="0" applyNumberFormat="1" applyFont="1" applyBorder="1" applyAlignment="1">
      <alignment horizontal="right"/>
    </xf>
    <xf numFmtId="166" fontId="38" fillId="0" borderId="63" xfId="0" applyNumberFormat="1" applyFont="1" applyBorder="1"/>
    <xf numFmtId="166" fontId="38" fillId="23" borderId="59" xfId="0" applyNumberFormat="1" applyFont="1" applyFill="1" applyBorder="1" applyAlignment="1">
      <alignment horizontal="right"/>
    </xf>
    <xf numFmtId="166" fontId="38" fillId="12" borderId="19" xfId="0" applyNumberFormat="1" applyFont="1" applyFill="1" applyBorder="1"/>
    <xf numFmtId="166" fontId="38" fillId="12" borderId="59" xfId="0" applyNumberFormat="1" applyFont="1" applyFill="1" applyBorder="1"/>
    <xf numFmtId="10" fontId="38" fillId="12" borderId="59" xfId="0" applyNumberFormat="1" applyFont="1" applyFill="1" applyBorder="1" applyAlignment="1">
      <alignment horizontal="right"/>
    </xf>
    <xf numFmtId="166" fontId="38" fillId="12" borderId="35" xfId="0" applyNumberFormat="1" applyFont="1" applyFill="1" applyBorder="1" applyAlignment="1">
      <alignment horizontal="right"/>
    </xf>
    <xf numFmtId="166" fontId="38" fillId="21" borderId="19" xfId="0" applyNumberFormat="1" applyFont="1" applyFill="1" applyBorder="1" applyAlignment="1">
      <alignment horizontal="right"/>
    </xf>
    <xf numFmtId="166" fontId="35" fillId="9" borderId="17" xfId="0" applyNumberFormat="1" applyFont="1" applyFill="1" applyBorder="1" applyAlignment="1">
      <alignment horizontal="right"/>
    </xf>
    <xf numFmtId="166" fontId="40" fillId="9" borderId="18" xfId="0" applyNumberFormat="1" applyFont="1" applyFill="1" applyBorder="1" applyAlignment="1">
      <alignment horizontal="right"/>
    </xf>
    <xf numFmtId="166" fontId="35" fillId="9" borderId="107" xfId="0" applyNumberFormat="1" applyFont="1" applyFill="1" applyBorder="1" applyAlignment="1">
      <alignment horizontal="right"/>
    </xf>
    <xf numFmtId="166" fontId="35" fillId="9" borderId="19" xfId="0" applyNumberFormat="1" applyFont="1" applyFill="1" applyBorder="1" applyAlignment="1">
      <alignment horizontal="right"/>
    </xf>
    <xf numFmtId="10" fontId="38" fillId="0" borderId="59" xfId="0" applyNumberFormat="1" applyFont="1" applyBorder="1" applyAlignment="1">
      <alignment horizontal="right"/>
    </xf>
    <xf numFmtId="166" fontId="38" fillId="0" borderId="35" xfId="0" applyNumberFormat="1" applyFont="1" applyBorder="1" applyAlignment="1">
      <alignment horizontal="right"/>
    </xf>
    <xf numFmtId="166" fontId="38" fillId="0" borderId="59" xfId="0" applyNumberFormat="1" applyFont="1" applyBorder="1" applyAlignment="1">
      <alignment horizontal="right"/>
    </xf>
    <xf numFmtId="166" fontId="38" fillId="23" borderId="19" xfId="0" applyNumberFormat="1" applyFont="1" applyFill="1" applyBorder="1"/>
    <xf numFmtId="166" fontId="38" fillId="23" borderId="107" xfId="0" applyNumberFormat="1" applyFont="1" applyFill="1" applyBorder="1"/>
    <xf numFmtId="166" fontId="38" fillId="23" borderId="16" xfId="0" applyNumberFormat="1" applyFont="1" applyFill="1" applyBorder="1" applyAlignment="1">
      <alignment horizontal="right"/>
    </xf>
    <xf numFmtId="166" fontId="38" fillId="23" borderId="104" xfId="0" applyNumberFormat="1" applyFont="1" applyFill="1" applyBorder="1" applyAlignment="1">
      <alignment horizontal="right"/>
    </xf>
    <xf numFmtId="10" fontId="24" fillId="0" borderId="17" xfId="0" applyNumberFormat="1" applyFont="1" applyBorder="1" applyAlignment="1">
      <alignment horizontal="right" vertical="center" wrapText="1"/>
    </xf>
    <xf numFmtId="0" fontId="23" fillId="0" borderId="17" xfId="0" applyFont="1" applyBorder="1" applyAlignment="1">
      <alignment horizontal="center" vertical="center" wrapText="1"/>
    </xf>
    <xf numFmtId="166" fontId="38" fillId="23" borderId="59" xfId="0" applyNumberFormat="1" applyFont="1" applyFill="1" applyBorder="1"/>
    <xf numFmtId="3" fontId="47" fillId="0" borderId="28" xfId="0" applyNumberFormat="1" applyFont="1" applyBorder="1" applyAlignment="1">
      <alignment horizontal="center"/>
    </xf>
    <xf numFmtId="165" fontId="38" fillId="21" borderId="26" xfId="1" applyNumberFormat="1" applyFont="1" applyFill="1" applyBorder="1"/>
    <xf numFmtId="10" fontId="38" fillId="0" borderId="45" xfId="0" applyNumberFormat="1" applyFont="1" applyBorder="1"/>
    <xf numFmtId="166" fontId="38" fillId="0" borderId="34" xfId="0" applyNumberFormat="1" applyFont="1" applyBorder="1"/>
    <xf numFmtId="166" fontId="39" fillId="0" borderId="45" xfId="0" applyNumberFormat="1" applyFont="1" applyBorder="1"/>
    <xf numFmtId="165" fontId="39" fillId="0" borderId="34" xfId="1" applyNumberFormat="1" applyFont="1" applyBorder="1"/>
    <xf numFmtId="166" fontId="24" fillId="0" borderId="24" xfId="0" applyNumberFormat="1" applyFont="1" applyBorder="1" applyAlignment="1">
      <alignment horizontal="center"/>
    </xf>
    <xf numFmtId="165" fontId="24" fillId="0" borderId="99" xfId="0" applyNumberFormat="1" applyFont="1" applyBorder="1" applyAlignment="1">
      <alignment horizontal="center"/>
    </xf>
    <xf numFmtId="0" fontId="42" fillId="24" borderId="43" xfId="0" applyFont="1" applyFill="1" applyBorder="1" applyAlignment="1">
      <alignment horizontal="center" vertical="center" wrapText="1"/>
    </xf>
    <xf numFmtId="0" fontId="42" fillId="6" borderId="43" xfId="0" applyFont="1" applyFill="1" applyBorder="1" applyAlignment="1">
      <alignment horizontal="center" vertical="center" wrapText="1"/>
    </xf>
    <xf numFmtId="166" fontId="38" fillId="13" borderId="48" xfId="0" applyNumberFormat="1" applyFont="1" applyFill="1" applyBorder="1" applyAlignment="1">
      <alignment horizontal="right"/>
    </xf>
    <xf numFmtId="3" fontId="47" fillId="0" borderId="29" xfId="0" applyNumberFormat="1" applyFont="1" applyBorder="1" applyAlignment="1">
      <alignment horizontal="center"/>
    </xf>
    <xf numFmtId="9" fontId="35" fillId="0" borderId="30" xfId="0" applyNumberFormat="1" applyFont="1" applyBorder="1" applyAlignment="1">
      <alignment horizontal="center"/>
    </xf>
    <xf numFmtId="164" fontId="35" fillId="0" borderId="30" xfId="0" applyNumberFormat="1" applyFont="1" applyBorder="1"/>
    <xf numFmtId="166" fontId="35" fillId="0" borderId="30" xfId="0" applyNumberFormat="1" applyFont="1" applyBorder="1"/>
    <xf numFmtId="166" fontId="35" fillId="0" borderId="44" xfId="0" applyNumberFormat="1" applyFont="1" applyBorder="1"/>
    <xf numFmtId="164" fontId="35" fillId="0" borderId="30" xfId="0" applyNumberFormat="1" applyFont="1" applyBorder="1" applyAlignment="1">
      <alignment horizontal="right"/>
    </xf>
    <xf numFmtId="4" fontId="35" fillId="0" borderId="30" xfId="0" applyNumberFormat="1" applyFont="1" applyBorder="1" applyAlignment="1">
      <alignment horizontal="right"/>
    </xf>
    <xf numFmtId="164" fontId="38" fillId="0" borderId="30" xfId="0" applyNumberFormat="1" applyFont="1" applyBorder="1"/>
    <xf numFmtId="166" fontId="38" fillId="0" borderId="30" xfId="0" applyNumberFormat="1" applyFont="1" applyBorder="1"/>
    <xf numFmtId="166" fontId="38" fillId="0" borderId="44" xfId="0" applyNumberFormat="1" applyFont="1" applyBorder="1"/>
    <xf numFmtId="164" fontId="35" fillId="22" borderId="44" xfId="0" applyNumberFormat="1" applyFont="1" applyFill="1" applyBorder="1" applyAlignment="1">
      <alignment horizontal="right"/>
    </xf>
    <xf numFmtId="164" fontId="35" fillId="0" borderId="44" xfId="0" applyNumberFormat="1" applyFont="1" applyBorder="1" applyAlignment="1">
      <alignment horizontal="right"/>
    </xf>
    <xf numFmtId="166" fontId="38" fillId="0" borderId="48" xfId="0" applyNumberFormat="1" applyFont="1" applyBorder="1"/>
    <xf numFmtId="166" fontId="38" fillId="23" borderId="44" xfId="0" applyNumberFormat="1" applyFont="1" applyFill="1" applyBorder="1" applyAlignment="1">
      <alignment horizontal="right"/>
    </xf>
    <xf numFmtId="166" fontId="38" fillId="12" borderId="30" xfId="0" applyNumberFormat="1" applyFont="1" applyFill="1" applyBorder="1"/>
    <xf numFmtId="166" fontId="38" fillId="12" borderId="44" xfId="0" applyNumberFormat="1" applyFont="1" applyFill="1" applyBorder="1"/>
    <xf numFmtId="166" fontId="48" fillId="12" borderId="44" xfId="0" applyNumberFormat="1" applyFont="1" applyFill="1" applyBorder="1"/>
    <xf numFmtId="165" fontId="48" fillId="12" borderId="50" xfId="1" applyNumberFormat="1" applyFont="1" applyFill="1" applyBorder="1"/>
    <xf numFmtId="165" fontId="39" fillId="21" borderId="30" xfId="1" applyNumberFormat="1" applyFont="1" applyFill="1" applyBorder="1"/>
    <xf numFmtId="166" fontId="35" fillId="22" borderId="43" xfId="0" applyNumberFormat="1" applyFont="1" applyFill="1" applyBorder="1" applyAlignment="1">
      <alignment horizontal="right"/>
    </xf>
    <xf numFmtId="166" fontId="40" fillId="22" borderId="29" xfId="0" applyNumberFormat="1" applyFont="1" applyFill="1" applyBorder="1" applyAlignment="1">
      <alignment horizontal="right"/>
    </xf>
    <xf numFmtId="166" fontId="40" fillId="22" borderId="95" xfId="0" applyNumberFormat="1" applyFont="1" applyFill="1" applyBorder="1" applyAlignment="1">
      <alignment horizontal="right"/>
    </xf>
    <xf numFmtId="166" fontId="35" fillId="22" borderId="30" xfId="0" applyNumberFormat="1" applyFont="1" applyFill="1" applyBorder="1" applyAlignment="1">
      <alignment horizontal="right"/>
    </xf>
    <xf numFmtId="166" fontId="38" fillId="23" borderId="30" xfId="0" applyNumberFormat="1" applyFont="1" applyFill="1" applyBorder="1"/>
    <xf numFmtId="166" fontId="38" fillId="23" borderId="95" xfId="0" applyNumberFormat="1" applyFont="1" applyFill="1" applyBorder="1"/>
    <xf numFmtId="166" fontId="38" fillId="23" borderId="83" xfId="0" applyNumberFormat="1" applyFont="1" applyFill="1" applyBorder="1"/>
    <xf numFmtId="165" fontId="39" fillId="23" borderId="100" xfId="1" applyNumberFormat="1" applyFont="1" applyFill="1" applyBorder="1"/>
    <xf numFmtId="0" fontId="34" fillId="20" borderId="37" xfId="0" applyFont="1" applyFill="1" applyBorder="1" applyAlignment="1">
      <alignment horizontal="center"/>
    </xf>
    <xf numFmtId="166" fontId="25" fillId="0" borderId="37" xfId="0" applyNumberFormat="1" applyFont="1" applyBorder="1"/>
    <xf numFmtId="166" fontId="25" fillId="0" borderId="67" xfId="0" applyNumberFormat="1" applyFont="1" applyBorder="1"/>
    <xf numFmtId="10" fontId="25" fillId="0" borderId="66" xfId="0" applyNumberFormat="1" applyFont="1" applyBorder="1"/>
    <xf numFmtId="10" fontId="25" fillId="0" borderId="17" xfId="0" applyNumberFormat="1" applyFont="1" applyBorder="1"/>
    <xf numFmtId="166" fontId="38" fillId="13" borderId="49" xfId="0" applyNumberFormat="1" applyFont="1" applyFill="1" applyBorder="1"/>
    <xf numFmtId="164" fontId="35" fillId="0" borderId="26" xfId="0" applyNumberFormat="1" applyFont="1" applyBorder="1"/>
    <xf numFmtId="0" fontId="35" fillId="0" borderId="26" xfId="0" applyFont="1" applyBorder="1"/>
    <xf numFmtId="166" fontId="35" fillId="0" borderId="45" xfId="0" applyNumberFormat="1" applyFont="1" applyBorder="1"/>
    <xf numFmtId="4" fontId="35" fillId="0" borderId="26" xfId="0" applyNumberFormat="1" applyFont="1" applyBorder="1" applyAlignment="1">
      <alignment horizontal="right"/>
    </xf>
    <xf numFmtId="165" fontId="38" fillId="12" borderId="34" xfId="1" applyNumberFormat="1" applyFont="1" applyFill="1" applyBorder="1"/>
    <xf numFmtId="166" fontId="38" fillId="23" borderId="33" xfId="0" applyNumberFormat="1" applyFont="1" applyFill="1" applyBorder="1"/>
    <xf numFmtId="165" fontId="38" fillId="23" borderId="99" xfId="1" applyNumberFormat="1" applyFont="1" applyFill="1" applyBorder="1"/>
    <xf numFmtId="0" fontId="23" fillId="0" borderId="24" xfId="0" applyFont="1" applyBorder="1" applyAlignment="1">
      <alignment horizontal="center" vertical="center" wrapText="1"/>
    </xf>
    <xf numFmtId="166" fontId="38" fillId="13" borderId="63" xfId="0" applyNumberFormat="1" applyFont="1" applyFill="1" applyBorder="1"/>
    <xf numFmtId="3" fontId="47" fillId="0" borderId="18" xfId="0" applyNumberFormat="1" applyFont="1" applyBorder="1" applyAlignment="1">
      <alignment horizontal="center"/>
    </xf>
    <xf numFmtId="164" fontId="40" fillId="0" borderId="19" xfId="0" applyNumberFormat="1" applyFont="1" applyBorder="1" applyAlignment="1">
      <alignment horizontal="right"/>
    </xf>
    <xf numFmtId="165" fontId="38" fillId="12" borderId="35" xfId="1" applyNumberFormat="1" applyFont="1" applyFill="1" applyBorder="1"/>
    <xf numFmtId="165" fontId="38" fillId="21" borderId="19" xfId="1" applyNumberFormat="1" applyFont="1" applyFill="1" applyBorder="1"/>
    <xf numFmtId="166" fontId="40" fillId="9" borderId="107" xfId="0" applyNumberFormat="1" applyFont="1" applyFill="1" applyBorder="1"/>
    <xf numFmtId="166" fontId="35" fillId="9" borderId="19" xfId="0" applyNumberFormat="1" applyFont="1" applyFill="1" applyBorder="1"/>
    <xf numFmtId="10" fontId="38" fillId="0" borderId="59" xfId="0" applyNumberFormat="1" applyFont="1" applyBorder="1"/>
    <xf numFmtId="166" fontId="39" fillId="0" borderId="59" xfId="0" applyNumberFormat="1" applyFont="1" applyBorder="1"/>
    <xf numFmtId="165" fontId="39" fillId="0" borderId="35" xfId="1" applyNumberFormat="1" applyFont="1" applyBorder="1"/>
    <xf numFmtId="166" fontId="38" fillId="23" borderId="16" xfId="0" applyNumberFormat="1" applyFont="1" applyFill="1" applyBorder="1"/>
    <xf numFmtId="165" fontId="38" fillId="23" borderId="104" xfId="1" applyNumberFormat="1" applyFont="1" applyFill="1" applyBorder="1"/>
    <xf numFmtId="166" fontId="25" fillId="0" borderId="17" xfId="0" applyNumberFormat="1" applyFont="1" applyBorder="1" applyAlignment="1">
      <alignment horizontal="right"/>
    </xf>
    <xf numFmtId="166" fontId="25" fillId="0" borderId="16" xfId="0" applyNumberFormat="1" applyFont="1" applyBorder="1" applyAlignment="1">
      <alignment horizontal="right"/>
    </xf>
    <xf numFmtId="0" fontId="25" fillId="0" borderId="18" xfId="0" applyFont="1" applyBorder="1" applyAlignment="1">
      <alignment horizontal="right"/>
    </xf>
    <xf numFmtId="0" fontId="25" fillId="21" borderId="75" xfId="0" applyFont="1" applyFill="1" applyBorder="1"/>
    <xf numFmtId="166" fontId="43" fillId="0" borderId="17" xfId="0" applyNumberFormat="1" applyFont="1" applyBorder="1" applyAlignment="1">
      <alignment horizontal="right"/>
    </xf>
    <xf numFmtId="166" fontId="25" fillId="0" borderId="104" xfId="0" applyNumberFormat="1" applyFont="1" applyBorder="1" applyAlignment="1">
      <alignment horizontal="right"/>
    </xf>
    <xf numFmtId="165" fontId="49" fillId="0" borderId="19" xfId="0" applyNumberFormat="1" applyFont="1" applyBorder="1" applyAlignment="1">
      <alignment horizontal="center" wrapText="1"/>
    </xf>
    <xf numFmtId="166" fontId="0" fillId="0" borderId="19" xfId="0" applyNumberFormat="1" applyBorder="1"/>
    <xf numFmtId="165" fontId="38" fillId="0" borderId="35" xfId="1" applyNumberFormat="1" applyFont="1" applyBorder="1"/>
    <xf numFmtId="0" fontId="25" fillId="0" borderId="17" xfId="0" applyFont="1" applyBorder="1" applyAlignment="1">
      <alignment horizontal="left" vertical="top" wrapText="1"/>
    </xf>
    <xf numFmtId="165" fontId="39" fillId="21" borderId="26" xfId="1" applyNumberFormat="1" applyFont="1" applyFill="1" applyBorder="1"/>
    <xf numFmtId="8" fontId="0" fillId="0" borderId="19" xfId="0" applyNumberFormat="1" applyBorder="1"/>
    <xf numFmtId="0" fontId="40" fillId="0" borderId="28" xfId="0" applyFont="1" applyBorder="1" applyAlignment="1">
      <alignment wrapText="1"/>
    </xf>
    <xf numFmtId="0" fontId="35" fillId="0" borderId="28" xfId="0" applyFont="1" applyBorder="1" applyAlignment="1">
      <alignment wrapText="1"/>
    </xf>
    <xf numFmtId="0" fontId="35" fillId="0" borderId="26" xfId="0" applyFont="1" applyBorder="1" applyAlignment="1">
      <alignment wrapText="1"/>
    </xf>
    <xf numFmtId="0" fontId="35" fillId="0" borderId="33" xfId="0" applyFont="1" applyBorder="1" applyAlignment="1">
      <alignment wrapText="1"/>
    </xf>
    <xf numFmtId="0" fontId="35" fillId="0" borderId="80" xfId="0" applyFont="1" applyBorder="1" applyAlignment="1">
      <alignment wrapText="1"/>
    </xf>
    <xf numFmtId="0" fontId="40" fillId="0" borderId="18" xfId="0" applyFont="1" applyBorder="1" applyAlignment="1">
      <alignment wrapText="1"/>
    </xf>
    <xf numFmtId="0" fontId="35" fillId="0" borderId="18" xfId="0" applyFont="1" applyBorder="1" applyAlignment="1">
      <alignment wrapText="1"/>
    </xf>
    <xf numFmtId="0" fontId="35" fillId="0" borderId="19" xfId="0" applyFont="1" applyBorder="1" applyAlignment="1">
      <alignment wrapText="1"/>
    </xf>
    <xf numFmtId="0" fontId="35" fillId="0" borderId="16" xfId="0" applyFont="1" applyBorder="1" applyAlignment="1">
      <alignment wrapText="1"/>
    </xf>
    <xf numFmtId="0" fontId="35" fillId="0" borderId="28" xfId="0" applyFont="1" applyBorder="1" applyAlignment="1">
      <alignment horizontal="left" wrapText="1"/>
    </xf>
    <xf numFmtId="0" fontId="35" fillId="0" borderId="29" xfId="0" applyFont="1" applyBorder="1" applyAlignment="1">
      <alignment wrapText="1"/>
    </xf>
    <xf numFmtId="0" fontId="35" fillId="0" borderId="18" xfId="0" applyFont="1" applyBorder="1" applyAlignment="1">
      <alignment horizontal="left" wrapText="1"/>
    </xf>
    <xf numFmtId="0" fontId="35" fillId="0" borderId="35" xfId="0" applyFont="1" applyBorder="1" applyAlignment="1">
      <alignment wrapText="1"/>
    </xf>
    <xf numFmtId="0" fontId="35" fillId="0" borderId="19" xfId="0" applyFont="1" applyBorder="1" applyAlignment="1">
      <alignment horizontal="left" vertical="top" wrapText="1"/>
    </xf>
    <xf numFmtId="0" fontId="35" fillId="0" borderId="35" xfId="0" applyFont="1" applyBorder="1" applyAlignment="1">
      <alignment horizontal="left" vertical="top" wrapText="1"/>
    </xf>
    <xf numFmtId="0" fontId="35" fillId="0" borderId="78" xfId="0" applyFont="1" applyBorder="1" applyAlignment="1">
      <alignment wrapText="1"/>
    </xf>
    <xf numFmtId="0" fontId="40" fillId="0" borderId="2" xfId="0" applyFont="1" applyBorder="1" applyAlignment="1">
      <alignment wrapText="1"/>
    </xf>
    <xf numFmtId="0" fontId="35" fillId="0" borderId="2" xfId="0" applyFont="1" applyBorder="1" applyAlignment="1">
      <alignment wrapText="1"/>
    </xf>
    <xf numFmtId="0" fontId="35" fillId="0" borderId="10" xfId="0" applyFont="1" applyBorder="1" applyAlignment="1">
      <alignment wrapText="1"/>
    </xf>
    <xf numFmtId="0" fontId="35" fillId="0" borderId="3" xfId="0" applyFont="1" applyBorder="1" applyAlignment="1">
      <alignment wrapText="1"/>
    </xf>
    <xf numFmtId="0" fontId="0" fillId="0" borderId="3" xfId="0" applyBorder="1"/>
    <xf numFmtId="0" fontId="35" fillId="0" borderId="24" xfId="0" applyFont="1" applyBorder="1" applyAlignment="1">
      <alignment horizontal="left" vertical="top" wrapText="1"/>
    </xf>
    <xf numFmtId="0" fontId="35" fillId="0" borderId="86" xfId="0" applyFont="1" applyBorder="1" applyAlignment="1">
      <alignment horizontal="left" vertical="top" wrapText="1"/>
    </xf>
    <xf numFmtId="0" fontId="35" fillId="0" borderId="37" xfId="0" applyFont="1" applyBorder="1" applyAlignment="1">
      <alignment horizontal="left" vertical="top" wrapText="1"/>
    </xf>
    <xf numFmtId="0" fontId="35" fillId="0" borderId="11" xfId="0" applyFont="1" applyBorder="1" applyAlignment="1">
      <alignment horizontal="left" vertical="top" wrapText="1"/>
    </xf>
    <xf numFmtId="0" fontId="0" fillId="0" borderId="17" xfId="0" applyBorder="1"/>
    <xf numFmtId="0" fontId="0" fillId="0" borderId="37" xfId="0" applyBorder="1"/>
    <xf numFmtId="0" fontId="0" fillId="0" borderId="11" xfId="0" applyBorder="1"/>
    <xf numFmtId="0" fontId="35" fillId="0" borderId="17" xfId="0" applyFont="1" applyBorder="1" applyAlignment="1">
      <alignment horizontal="left" vertical="top" wrapText="1"/>
    </xf>
    <xf numFmtId="0" fontId="35" fillId="0" borderId="18" xfId="0" applyFont="1" applyBorder="1" applyAlignment="1">
      <alignment horizontal="left" vertical="top" wrapText="1"/>
    </xf>
    <xf numFmtId="0" fontId="0" fillId="0" borderId="76" xfId="0" applyBorder="1"/>
    <xf numFmtId="0" fontId="0" fillId="0" borderId="80" xfId="0" applyBorder="1"/>
    <xf numFmtId="0" fontId="0" fillId="0" borderId="81" xfId="0" applyBorder="1"/>
    <xf numFmtId="0" fontId="0" fillId="0" borderId="26" xfId="0" applyBorder="1"/>
    <xf numFmtId="0" fontId="0" fillId="0" borderId="43" xfId="0" applyBorder="1"/>
    <xf numFmtId="0" fontId="0" fillId="0" borderId="24" xfId="0" applyBorder="1"/>
    <xf numFmtId="0" fontId="0" fillId="0" borderId="35" xfId="0" applyBorder="1"/>
    <xf numFmtId="0" fontId="0" fillId="0" borderId="32" xfId="0" applyBorder="1"/>
    <xf numFmtId="0" fontId="0" fillId="0" borderId="34" xfId="0" applyBorder="1"/>
    <xf numFmtId="165" fontId="39" fillId="0" borderId="26" xfId="1" applyNumberFormat="1" applyFont="1" applyBorder="1"/>
    <xf numFmtId="166" fontId="48" fillId="12" borderId="59" xfId="0" applyNumberFormat="1" applyFont="1" applyFill="1" applyBorder="1"/>
    <xf numFmtId="165" fontId="48" fillId="12" borderId="35" xfId="1" applyNumberFormat="1" applyFont="1" applyFill="1" applyBorder="1"/>
    <xf numFmtId="0" fontId="42" fillId="6" borderId="41" xfId="0" applyFont="1" applyFill="1" applyBorder="1" applyAlignment="1">
      <alignment horizontal="center" vertical="center" wrapText="1"/>
    </xf>
    <xf numFmtId="0" fontId="42" fillId="6" borderId="11" xfId="0" applyFont="1" applyFill="1" applyBorder="1" applyAlignment="1">
      <alignment horizontal="center" vertical="center" wrapText="1"/>
    </xf>
    <xf numFmtId="3" fontId="47" fillId="0" borderId="2" xfId="0" applyNumberFormat="1" applyFont="1" applyBorder="1" applyAlignment="1">
      <alignment horizontal="center"/>
    </xf>
    <xf numFmtId="16" fontId="35" fillId="0" borderId="3" xfId="0" applyNumberFormat="1" applyFont="1" applyBorder="1" applyAlignment="1">
      <alignment horizontal="center"/>
    </xf>
    <xf numFmtId="3" fontId="35" fillId="0" borderId="3" xfId="0" applyNumberFormat="1" applyFont="1" applyBorder="1" applyAlignment="1">
      <alignment horizontal="center"/>
    </xf>
    <xf numFmtId="9" fontId="35" fillId="0" borderId="3" xfId="0" applyNumberFormat="1" applyFont="1" applyBorder="1" applyAlignment="1">
      <alignment horizontal="center"/>
    </xf>
    <xf numFmtId="166" fontId="35" fillId="0" borderId="3" xfId="0" applyNumberFormat="1" applyFont="1" applyBorder="1"/>
    <xf numFmtId="0" fontId="38" fillId="0" borderId="15" xfId="0" applyFont="1" applyBorder="1"/>
    <xf numFmtId="164" fontId="38" fillId="0" borderId="3" xfId="0" applyNumberFormat="1" applyFont="1" applyBorder="1"/>
    <xf numFmtId="166" fontId="38" fillId="0" borderId="3" xfId="0" applyNumberFormat="1" applyFont="1" applyBorder="1"/>
    <xf numFmtId="166" fontId="38" fillId="0" borderId="6" xfId="0" applyNumberFormat="1" applyFont="1" applyBorder="1"/>
    <xf numFmtId="164" fontId="35" fillId="0" borderId="3" xfId="0" applyNumberFormat="1" applyFont="1" applyBorder="1" applyAlignment="1">
      <alignment horizontal="right"/>
    </xf>
    <xf numFmtId="164" fontId="35" fillId="0" borderId="6" xfId="0" applyNumberFormat="1" applyFont="1" applyBorder="1" applyAlignment="1">
      <alignment horizontal="right"/>
    </xf>
    <xf numFmtId="166" fontId="38" fillId="0" borderId="9" xfId="0" applyNumberFormat="1" applyFont="1" applyBorder="1"/>
    <xf numFmtId="166" fontId="38" fillId="23" borderId="3" xfId="0" applyNumberFormat="1" applyFont="1" applyFill="1" applyBorder="1"/>
    <xf numFmtId="166" fontId="38" fillId="23" borderId="6" xfId="0" applyNumberFormat="1" applyFont="1" applyFill="1" applyBorder="1"/>
    <xf numFmtId="166" fontId="38" fillId="12" borderId="3" xfId="0" applyNumberFormat="1" applyFont="1" applyFill="1" applyBorder="1"/>
    <xf numFmtId="166" fontId="38" fillId="12" borderId="6" xfId="0" applyNumberFormat="1" applyFont="1" applyFill="1" applyBorder="1"/>
    <xf numFmtId="0" fontId="35" fillId="0" borderId="11" xfId="0" applyFont="1" applyBorder="1"/>
    <xf numFmtId="166" fontId="35" fillId="0" borderId="11" xfId="0" applyNumberFormat="1" applyFont="1" applyBorder="1" applyAlignment="1">
      <alignment horizontal="left"/>
    </xf>
    <xf numFmtId="0" fontId="25" fillId="12" borderId="54" xfId="0" applyFont="1" applyFill="1" applyBorder="1" applyAlignment="1">
      <alignment horizontal="center" vertical="top" wrapText="1"/>
    </xf>
    <xf numFmtId="0" fontId="25" fillId="9" borderId="54" xfId="0" applyFont="1" applyFill="1" applyBorder="1" applyAlignment="1">
      <alignment horizontal="center" vertical="top" wrapText="1"/>
    </xf>
    <xf numFmtId="166" fontId="25" fillId="0" borderId="36" xfId="0" applyNumberFormat="1" applyFont="1" applyBorder="1" applyAlignment="1">
      <alignment horizontal="center"/>
    </xf>
    <xf numFmtId="165" fontId="25" fillId="0" borderId="106" xfId="0" applyNumberFormat="1" applyFont="1" applyBorder="1" applyAlignment="1">
      <alignment horizontal="center"/>
    </xf>
    <xf numFmtId="0" fontId="36" fillId="14" borderId="54" xfId="0" applyFont="1" applyFill="1" applyBorder="1" applyAlignment="1">
      <alignment horizontal="center"/>
    </xf>
    <xf numFmtId="0" fontId="25" fillId="0" borderId="52" xfId="0" applyFont="1" applyBorder="1" applyAlignment="1">
      <alignment horizontal="left" vertical="top" wrapText="1"/>
    </xf>
    <xf numFmtId="8" fontId="25" fillId="0" borderId="54" xfId="0" applyNumberFormat="1" applyFont="1" applyBorder="1" applyAlignment="1">
      <alignment horizontal="left" vertical="top" wrapText="1"/>
    </xf>
    <xf numFmtId="8" fontId="25" fillId="0" borderId="52" xfId="0" applyNumberFormat="1" applyFont="1" applyBorder="1" applyAlignment="1">
      <alignment horizontal="left" vertical="top" wrapText="1"/>
    </xf>
    <xf numFmtId="0" fontId="25" fillId="0" borderId="62" xfId="0" applyFont="1" applyBorder="1" applyAlignment="1">
      <alignment horizontal="left" vertical="top" wrapText="1"/>
    </xf>
    <xf numFmtId="0" fontId="25" fillId="0" borderId="62" xfId="0" applyFont="1" applyBorder="1" applyAlignment="1">
      <alignment vertical="top" wrapText="1"/>
    </xf>
    <xf numFmtId="0" fontId="25" fillId="0" borderId="52" xfId="0" applyFont="1" applyBorder="1" applyAlignment="1">
      <alignment vertical="top" wrapText="1"/>
    </xf>
    <xf numFmtId="0" fontId="25" fillId="0" borderId="84" xfId="0" applyFont="1" applyBorder="1" applyAlignment="1">
      <alignment horizontal="left" vertical="top" wrapText="1"/>
    </xf>
    <xf numFmtId="8" fontId="25" fillId="0" borderId="52" xfId="0" applyNumberFormat="1" applyFont="1" applyBorder="1" applyAlignment="1">
      <alignment vertical="top" wrapText="1"/>
    </xf>
    <xf numFmtId="8" fontId="25" fillId="0" borderId="84" xfId="0" applyNumberFormat="1" applyFont="1" applyBorder="1" applyAlignment="1">
      <alignment horizontal="right" vertical="top" wrapText="1"/>
    </xf>
    <xf numFmtId="0" fontId="25" fillId="0" borderId="101" xfId="0" applyFont="1" applyBorder="1" applyAlignment="1">
      <alignment horizontal="left" vertical="top" wrapText="1"/>
    </xf>
    <xf numFmtId="6" fontId="25" fillId="0" borderId="33" xfId="0" applyNumberFormat="1" applyFont="1" applyBorder="1" applyAlignment="1">
      <alignment horizontal="right" vertical="top" wrapText="1"/>
    </xf>
    <xf numFmtId="0" fontId="36" fillId="14" borderId="20" xfId="0" applyFont="1" applyFill="1" applyBorder="1" applyAlignment="1">
      <alignment horizontal="left"/>
    </xf>
    <xf numFmtId="0" fontId="36" fillId="14" borderId="23" xfId="0" applyFont="1" applyFill="1" applyBorder="1" applyAlignment="1">
      <alignment horizontal="left"/>
    </xf>
    <xf numFmtId="9" fontId="35" fillId="0" borderId="2" xfId="0" applyNumberFormat="1" applyFont="1" applyBorder="1" applyAlignment="1">
      <alignment horizontal="left" wrapText="1"/>
    </xf>
    <xf numFmtId="0" fontId="35" fillId="25" borderId="3" xfId="0" applyFont="1" applyFill="1" applyBorder="1" applyAlignment="1">
      <alignment wrapText="1"/>
    </xf>
    <xf numFmtId="0" fontId="35" fillId="25" borderId="11" xfId="0" applyFont="1" applyFill="1" applyBorder="1" applyAlignment="1">
      <alignment horizontal="left" vertical="top" wrapText="1"/>
    </xf>
    <xf numFmtId="0" fontId="35" fillId="25" borderId="32" xfId="0" applyFont="1" applyFill="1" applyBorder="1" applyAlignment="1">
      <alignment wrapText="1"/>
    </xf>
    <xf numFmtId="0" fontId="35" fillId="25" borderId="2" xfId="0" applyFont="1" applyFill="1" applyBorder="1" applyAlignment="1">
      <alignment horizontal="left" vertical="top" wrapText="1"/>
    </xf>
    <xf numFmtId="0" fontId="35" fillId="25" borderId="32" xfId="0" applyFont="1" applyFill="1" applyBorder="1" applyAlignment="1">
      <alignment horizontal="left" vertical="top" wrapText="1"/>
    </xf>
    <xf numFmtId="165" fontId="39" fillId="21" borderId="19" xfId="1" applyNumberFormat="1" applyFont="1" applyFill="1" applyBorder="1"/>
    <xf numFmtId="164" fontId="38" fillId="23" borderId="59" xfId="0" applyNumberFormat="1" applyFont="1" applyFill="1" applyBorder="1"/>
    <xf numFmtId="166" fontId="39" fillId="23" borderId="16" xfId="0" applyNumberFormat="1" applyFont="1" applyFill="1" applyBorder="1"/>
    <xf numFmtId="165" fontId="39" fillId="23" borderId="104" xfId="1" applyNumberFormat="1" applyFont="1" applyFill="1" applyBorder="1"/>
    <xf numFmtId="166" fontId="38" fillId="13" borderId="9" xfId="0" applyNumberFormat="1" applyFont="1" applyFill="1" applyBorder="1"/>
    <xf numFmtId="164" fontId="35" fillId="0" borderId="3" xfId="0" applyNumberFormat="1" applyFont="1" applyBorder="1"/>
    <xf numFmtId="0" fontId="35" fillId="0" borderId="3" xfId="0" applyFont="1" applyBorder="1"/>
    <xf numFmtId="166" fontId="35" fillId="0" borderId="6" xfId="0" applyNumberFormat="1" applyFont="1" applyBorder="1"/>
    <xf numFmtId="4" fontId="35" fillId="0" borderId="3" xfId="0" applyNumberFormat="1" applyFont="1" applyBorder="1" applyAlignment="1">
      <alignment horizontal="right"/>
    </xf>
    <xf numFmtId="164" fontId="40" fillId="0" borderId="3" xfId="0" applyNumberFormat="1" applyFont="1" applyBorder="1" applyAlignment="1">
      <alignment horizontal="right"/>
    </xf>
    <xf numFmtId="165" fontId="38" fillId="12" borderId="32" xfId="1" applyNumberFormat="1" applyFont="1" applyFill="1" applyBorder="1"/>
    <xf numFmtId="165" fontId="38" fillId="21" borderId="3" xfId="1" applyNumberFormat="1" applyFont="1" applyFill="1" applyBorder="1"/>
    <xf numFmtId="166" fontId="35" fillId="9" borderId="11" xfId="0" applyNumberFormat="1" applyFont="1" applyFill="1" applyBorder="1" applyAlignment="1">
      <alignment horizontal="right"/>
    </xf>
    <xf numFmtId="166" fontId="40" fillId="9" borderId="2" xfId="0" applyNumberFormat="1" applyFont="1" applyFill="1" applyBorder="1" applyAlignment="1">
      <alignment horizontal="right"/>
    </xf>
    <xf numFmtId="166" fontId="40" fillId="9" borderId="108" xfId="0" applyNumberFormat="1" applyFont="1" applyFill="1" applyBorder="1"/>
    <xf numFmtId="166" fontId="35" fillId="9" borderId="3" xfId="0" applyNumberFormat="1" applyFont="1" applyFill="1" applyBorder="1"/>
    <xf numFmtId="10" fontId="38" fillId="0" borderId="6" xfId="0" applyNumberFormat="1" applyFont="1" applyBorder="1"/>
    <xf numFmtId="166" fontId="38" fillId="0" borderId="32" xfId="0" applyNumberFormat="1" applyFont="1" applyBorder="1"/>
    <xf numFmtId="166" fontId="39" fillId="0" borderId="6" xfId="0" applyNumberFormat="1" applyFont="1" applyBorder="1"/>
    <xf numFmtId="165" fontId="39" fillId="0" borderId="32" xfId="1" applyNumberFormat="1" applyFont="1" applyBorder="1"/>
    <xf numFmtId="166" fontId="38" fillId="23" borderId="108" xfId="0" applyNumberFormat="1" applyFont="1" applyFill="1" applyBorder="1"/>
    <xf numFmtId="166" fontId="38" fillId="23" borderId="10" xfId="0" applyNumberFormat="1" applyFont="1" applyFill="1" applyBorder="1"/>
    <xf numFmtId="165" fontId="38" fillId="23" borderId="90" xfId="1" applyNumberFormat="1" applyFont="1" applyFill="1" applyBorder="1"/>
    <xf numFmtId="166" fontId="51" fillId="0" borderId="0" xfId="0" applyNumberFormat="1" applyFont="1" applyAlignment="1">
      <alignment horizontal="left"/>
    </xf>
    <xf numFmtId="0" fontId="23" fillId="18" borderId="11" xfId="0" applyFont="1" applyFill="1" applyBorder="1" applyAlignment="1">
      <alignment horizontal="center" vertical="center" wrapText="1"/>
    </xf>
    <xf numFmtId="165" fontId="24" fillId="0" borderId="11" xfId="0" applyNumberFormat="1" applyFont="1" applyBorder="1" applyAlignment="1">
      <alignment horizontal="center" vertical="center" wrapText="1"/>
    </xf>
    <xf numFmtId="9" fontId="24" fillId="17" borderId="11" xfId="0" applyNumberFormat="1" applyFont="1" applyFill="1" applyBorder="1" applyAlignment="1">
      <alignment horizontal="center" vertical="center" wrapText="1"/>
    </xf>
    <xf numFmtId="165" fontId="24" fillId="17" borderId="11" xfId="0" applyNumberFormat="1" applyFont="1" applyFill="1" applyBorder="1" applyAlignment="1">
      <alignment horizontal="center" vertical="center" wrapText="1"/>
    </xf>
    <xf numFmtId="0" fontId="24" fillId="0" borderId="11" xfId="0" applyFont="1" applyBorder="1" applyAlignment="1">
      <alignment horizontal="center" vertical="center"/>
    </xf>
    <xf numFmtId="9" fontId="24" fillId="0" borderId="11" xfId="0" applyNumberFormat="1" applyFont="1" applyBorder="1" applyAlignment="1">
      <alignment horizontal="center" vertical="center" wrapText="1"/>
    </xf>
    <xf numFmtId="9" fontId="24" fillId="0" borderId="11" xfId="0" applyNumberFormat="1" applyFont="1" applyBorder="1" applyAlignment="1">
      <alignment horizontal="center" vertical="center"/>
    </xf>
    <xf numFmtId="10" fontId="24" fillId="0" borderId="11" xfId="0" applyNumberFormat="1" applyFont="1" applyBorder="1" applyAlignment="1">
      <alignment horizontal="center" vertical="center" wrapText="1"/>
    </xf>
    <xf numFmtId="0" fontId="24" fillId="0" borderId="11" xfId="0" applyFont="1" applyBorder="1"/>
    <xf numFmtId="0" fontId="2" fillId="0" borderId="11" xfId="0" applyFont="1" applyBorder="1"/>
    <xf numFmtId="166" fontId="24" fillId="0" borderId="11" xfId="0" applyNumberFormat="1" applyFont="1" applyBorder="1" applyAlignment="1">
      <alignment horizontal="center"/>
    </xf>
    <xf numFmtId="166" fontId="24" fillId="9" borderId="11" xfId="0" applyNumberFormat="1" applyFont="1" applyFill="1" applyBorder="1" applyAlignment="1">
      <alignment horizontal="center"/>
    </xf>
    <xf numFmtId="0" fontId="30" fillId="14" borderId="41" xfId="0" applyFont="1" applyFill="1" applyBorder="1" applyAlignment="1">
      <alignment horizontal="center" vertical="center" wrapText="1"/>
    </xf>
    <xf numFmtId="0" fontId="30" fillId="14" borderId="42" xfId="0" applyFont="1" applyFill="1" applyBorder="1" applyAlignment="1">
      <alignment horizontal="center" vertical="center" wrapText="1"/>
    </xf>
    <xf numFmtId="0" fontId="23" fillId="18" borderId="24" xfId="0" applyFont="1" applyFill="1" applyBorder="1" applyAlignment="1">
      <alignment horizontal="center" vertical="center" wrapText="1"/>
    </xf>
    <xf numFmtId="0" fontId="23" fillId="13" borderId="24" xfId="0" applyFont="1" applyFill="1" applyBorder="1" applyAlignment="1">
      <alignment horizontal="center" vertical="center" wrapText="1"/>
    </xf>
    <xf numFmtId="0" fontId="24" fillId="0" borderId="24" xfId="0" applyFont="1" applyBorder="1" applyAlignment="1">
      <alignment horizontal="center" vertical="center"/>
    </xf>
    <xf numFmtId="0" fontId="24" fillId="0" borderId="24" xfId="0" applyFont="1" applyBorder="1"/>
    <xf numFmtId="165" fontId="24" fillId="0" borderId="90" xfId="0" applyNumberFormat="1" applyFont="1" applyBorder="1" applyAlignment="1">
      <alignment horizontal="center"/>
    </xf>
    <xf numFmtId="165" fontId="24" fillId="9" borderId="90" xfId="0" applyNumberFormat="1" applyFont="1" applyFill="1" applyBorder="1" applyAlignment="1">
      <alignment horizontal="center"/>
    </xf>
    <xf numFmtId="0" fontId="0" fillId="0" borderId="90" xfId="0" applyBorder="1"/>
    <xf numFmtId="0" fontId="2" fillId="0" borderId="90" xfId="0" applyFont="1" applyBorder="1"/>
    <xf numFmtId="0" fontId="27" fillId="0" borderId="0" xfId="0" applyFont="1" applyAlignment="1">
      <alignment horizontal="left" vertical="top" wrapText="1"/>
    </xf>
    <xf numFmtId="0" fontId="24" fillId="0" borderId="2" xfId="0" applyFont="1" applyBorder="1"/>
    <xf numFmtId="0" fontId="0" fillId="26" borderId="11" xfId="0" applyFill="1" applyBorder="1"/>
    <xf numFmtId="166" fontId="24" fillId="0" borderId="11" xfId="0" applyNumberFormat="1" applyFont="1" applyBorder="1"/>
    <xf numFmtId="166" fontId="24" fillId="26" borderId="11" xfId="0" applyNumberFormat="1" applyFont="1" applyFill="1" applyBorder="1"/>
    <xf numFmtId="166" fontId="52" fillId="0" borderId="11" xfId="0" applyNumberFormat="1" applyFont="1" applyBorder="1"/>
    <xf numFmtId="0" fontId="34" fillId="20" borderId="40" xfId="0" applyFont="1" applyFill="1" applyBorder="1" applyAlignment="1">
      <alignment horizontal="center"/>
    </xf>
    <xf numFmtId="0" fontId="34" fillId="20" borderId="36" xfId="0" applyFont="1" applyFill="1" applyBorder="1" applyAlignment="1">
      <alignment horizontal="center"/>
    </xf>
    <xf numFmtId="166" fontId="25" fillId="0" borderId="36" xfId="0" applyNumberFormat="1" applyFont="1" applyBorder="1"/>
    <xf numFmtId="166" fontId="25" fillId="9" borderId="36" xfId="0" applyNumberFormat="1" applyFont="1" applyFill="1" applyBorder="1" applyAlignment="1">
      <alignment horizontal="right"/>
    </xf>
    <xf numFmtId="166" fontId="25" fillId="9" borderId="36" xfId="0" applyNumberFormat="1" applyFont="1" applyFill="1" applyBorder="1"/>
    <xf numFmtId="166" fontId="25" fillId="9" borderId="69" xfId="0" applyNumberFormat="1" applyFont="1" applyFill="1" applyBorder="1"/>
    <xf numFmtId="166" fontId="43" fillId="9" borderId="51" xfId="0" applyNumberFormat="1" applyFont="1" applyFill="1" applyBorder="1"/>
    <xf numFmtId="166" fontId="25" fillId="23" borderId="69" xfId="0" applyNumberFormat="1" applyFont="1" applyFill="1" applyBorder="1"/>
    <xf numFmtId="166" fontId="25" fillId="23" borderId="36" xfId="0" applyNumberFormat="1" applyFont="1" applyFill="1" applyBorder="1"/>
    <xf numFmtId="10" fontId="25" fillId="23" borderId="106" xfId="0" applyNumberFormat="1" applyFont="1" applyFill="1" applyBorder="1"/>
    <xf numFmtId="166" fontId="25" fillId="9" borderId="24" xfId="0" applyNumberFormat="1" applyFont="1" applyFill="1" applyBorder="1" applyAlignment="1">
      <alignment horizontal="right"/>
    </xf>
    <xf numFmtId="166" fontId="25" fillId="9" borderId="24" xfId="0" applyNumberFormat="1" applyFont="1" applyFill="1" applyBorder="1"/>
    <xf numFmtId="166" fontId="43" fillId="9" borderId="33" xfId="0" applyNumberFormat="1" applyFont="1" applyFill="1" applyBorder="1"/>
    <xf numFmtId="166" fontId="43" fillId="9" borderId="34" xfId="0" applyNumberFormat="1" applyFont="1" applyFill="1" applyBorder="1" applyAlignment="1">
      <alignment horizontal="right"/>
    </xf>
    <xf numFmtId="166" fontId="25" fillId="23" borderId="24" xfId="0" applyNumberFormat="1" applyFont="1" applyFill="1" applyBorder="1" applyAlignment="1">
      <alignment horizontal="right"/>
    </xf>
    <xf numFmtId="0" fontId="0" fillId="0" borderId="40" xfId="0" applyBorder="1"/>
    <xf numFmtId="0" fontId="0" fillId="0" borderId="36" xfId="0" applyBorder="1"/>
    <xf numFmtId="0" fontId="0" fillId="0" borderId="12" xfId="0" applyBorder="1"/>
    <xf numFmtId="0" fontId="0" fillId="26" borderId="36" xfId="0" applyFill="1" applyBorder="1"/>
    <xf numFmtId="166" fontId="24" fillId="0" borderId="36" xfId="0" applyNumberFormat="1" applyFont="1" applyBorder="1"/>
    <xf numFmtId="166" fontId="52" fillId="0" borderId="36" xfId="0" applyNumberFormat="1" applyFont="1" applyBorder="1"/>
    <xf numFmtId="166" fontId="24" fillId="26" borderId="36" xfId="0" applyNumberFormat="1" applyFont="1" applyFill="1" applyBorder="1"/>
    <xf numFmtId="0" fontId="24" fillId="0" borderId="24" xfId="0" applyFont="1" applyBorder="1" applyAlignment="1">
      <alignment horizontal="center"/>
    </xf>
    <xf numFmtId="10" fontId="24" fillId="0" borderId="24" xfId="0" applyNumberFormat="1" applyFont="1" applyBorder="1" applyAlignment="1">
      <alignment horizontal="center" vertical="center" wrapText="1"/>
    </xf>
    <xf numFmtId="165" fontId="24" fillId="9" borderId="24" xfId="0" applyNumberFormat="1" applyFont="1" applyFill="1" applyBorder="1" applyAlignment="1">
      <alignment horizontal="center" vertical="center" wrapText="1"/>
    </xf>
    <xf numFmtId="0" fontId="24" fillId="9" borderId="28" xfId="0" applyFont="1" applyFill="1" applyBorder="1"/>
    <xf numFmtId="0" fontId="0" fillId="26" borderId="23" xfId="0" applyFill="1" applyBorder="1"/>
    <xf numFmtId="0" fontId="0" fillId="26" borderId="24" xfId="0" applyFill="1" applyBorder="1"/>
    <xf numFmtId="0" fontId="24" fillId="0" borderId="23" xfId="0" applyFont="1" applyBorder="1"/>
    <xf numFmtId="166" fontId="24" fillId="0" borderId="24" xfId="0" applyNumberFormat="1" applyFont="1" applyBorder="1"/>
    <xf numFmtId="166" fontId="52" fillId="0" borderId="24" xfId="0" applyNumberFormat="1" applyFont="1" applyBorder="1"/>
    <xf numFmtId="0" fontId="24" fillId="26" borderId="23" xfId="0" applyFont="1" applyFill="1" applyBorder="1"/>
    <xf numFmtId="166" fontId="24" fillId="26" borderId="24" xfId="0" applyNumberFormat="1" applyFont="1" applyFill="1" applyBorder="1"/>
    <xf numFmtId="0" fontId="24" fillId="0" borderId="89" xfId="0" applyFont="1" applyBorder="1"/>
    <xf numFmtId="166" fontId="24" fillId="0" borderId="90" xfId="0" applyNumberFormat="1" applyFont="1" applyBorder="1"/>
    <xf numFmtId="166" fontId="24" fillId="0" borderId="99" xfId="0" applyNumberFormat="1" applyFont="1" applyBorder="1"/>
    <xf numFmtId="0" fontId="2" fillId="0" borderId="0" xfId="2"/>
    <xf numFmtId="0" fontId="2" fillId="0" borderId="34" xfId="2" applyBorder="1"/>
    <xf numFmtId="0" fontId="2" fillId="0" borderId="35" xfId="2" applyBorder="1"/>
    <xf numFmtId="0" fontId="2" fillId="0" borderId="32" xfId="2" applyBorder="1"/>
    <xf numFmtId="0" fontId="2" fillId="0" borderId="61" xfId="2" applyBorder="1"/>
    <xf numFmtId="0" fontId="2" fillId="0" borderId="50" xfId="2" applyBorder="1"/>
    <xf numFmtId="0" fontId="2" fillId="0" borderId="26" xfId="2" applyBorder="1"/>
    <xf numFmtId="0" fontId="2" fillId="0" borderId="19" xfId="2" applyBorder="1"/>
    <xf numFmtId="0" fontId="2" fillId="0" borderId="3" xfId="2" applyBorder="1"/>
    <xf numFmtId="0" fontId="2" fillId="0" borderId="30" xfId="2" applyBorder="1"/>
    <xf numFmtId="0" fontId="2" fillId="0" borderId="24" xfId="2" applyBorder="1"/>
    <xf numFmtId="0" fontId="2" fillId="0" borderId="17" xfId="2" applyBorder="1"/>
    <xf numFmtId="0" fontId="2" fillId="0" borderId="11" xfId="2" applyBorder="1"/>
    <xf numFmtId="0" fontId="2" fillId="0" borderId="37" xfId="2" applyBorder="1"/>
    <xf numFmtId="0" fontId="2" fillId="0" borderId="43" xfId="2" applyBorder="1"/>
    <xf numFmtId="0" fontId="2" fillId="0" borderId="81" xfId="2" applyBorder="1"/>
    <xf numFmtId="0" fontId="2" fillId="0" borderId="80" xfId="2" applyBorder="1"/>
    <xf numFmtId="0" fontId="2" fillId="0" borderId="65" xfId="2" applyBorder="1"/>
    <xf numFmtId="0" fontId="2" fillId="0" borderId="76" xfId="2" applyBorder="1"/>
    <xf numFmtId="0" fontId="35" fillId="0" borderId="19" xfId="2" applyFont="1" applyBorder="1"/>
    <xf numFmtId="0" fontId="44" fillId="0" borderId="0" xfId="2" applyFont="1" applyAlignment="1">
      <alignment vertical="top" wrapText="1"/>
    </xf>
    <xf numFmtId="0" fontId="25" fillId="0" borderId="19" xfId="2" applyFont="1" applyBorder="1"/>
    <xf numFmtId="0" fontId="25" fillId="0" borderId="0" xfId="2" applyFont="1"/>
    <xf numFmtId="0" fontId="25" fillId="0" borderId="17" xfId="2" applyFont="1" applyBorder="1" applyAlignment="1">
      <alignment horizontal="right"/>
    </xf>
    <xf numFmtId="10" fontId="25" fillId="0" borderId="17" xfId="2" applyNumberFormat="1" applyFont="1" applyBorder="1"/>
    <xf numFmtId="10" fontId="43" fillId="0" borderId="11" xfId="2" applyNumberFormat="1" applyFont="1" applyBorder="1"/>
    <xf numFmtId="10" fontId="43" fillId="22" borderId="11" xfId="2" applyNumberFormat="1" applyFont="1" applyFill="1" applyBorder="1"/>
    <xf numFmtId="0" fontId="25" fillId="0" borderId="18" xfId="2" applyFont="1" applyBorder="1" applyAlignment="1">
      <alignment horizontal="right"/>
    </xf>
    <xf numFmtId="0" fontId="25" fillId="0" borderId="11" xfId="2" applyFont="1" applyBorder="1" applyAlignment="1">
      <alignment horizontal="right"/>
    </xf>
    <xf numFmtId="0" fontId="25" fillId="0" borderId="11" xfId="2" applyFont="1" applyBorder="1"/>
    <xf numFmtId="166" fontId="25" fillId="0" borderId="17" xfId="2" applyNumberFormat="1" applyFont="1" applyBorder="1" applyAlignment="1">
      <alignment horizontal="right"/>
    </xf>
    <xf numFmtId="166" fontId="25" fillId="0" borderId="17" xfId="2" applyNumberFormat="1" applyFont="1" applyBorder="1"/>
    <xf numFmtId="166" fontId="43" fillId="0" borderId="11" xfId="2" applyNumberFormat="1" applyFont="1" applyBorder="1"/>
    <xf numFmtId="166" fontId="43" fillId="22" borderId="11" xfId="2" applyNumberFormat="1" applyFont="1" applyFill="1" applyBorder="1"/>
    <xf numFmtId="166" fontId="25" fillId="0" borderId="16" xfId="2" applyNumberFormat="1" applyFont="1" applyBorder="1"/>
    <xf numFmtId="166" fontId="25" fillId="0" borderId="10" xfId="2" applyNumberFormat="1" applyFont="1" applyBorder="1"/>
    <xf numFmtId="166" fontId="25" fillId="22" borderId="10" xfId="2" applyNumberFormat="1" applyFont="1" applyFill="1" applyBorder="1"/>
    <xf numFmtId="0" fontId="25" fillId="0" borderId="10" xfId="2" applyFont="1" applyBorder="1"/>
    <xf numFmtId="166" fontId="25" fillId="0" borderId="104" xfId="2" applyNumberFormat="1" applyFont="1" applyBorder="1" applyAlignment="1">
      <alignment horizontal="right"/>
    </xf>
    <xf numFmtId="166" fontId="25" fillId="0" borderId="104" xfId="2" applyNumberFormat="1" applyFont="1" applyBorder="1"/>
    <xf numFmtId="166" fontId="25" fillId="0" borderId="90" xfId="2" applyNumberFormat="1" applyFont="1" applyBorder="1"/>
    <xf numFmtId="166" fontId="25" fillId="22" borderId="90" xfId="2" applyNumberFormat="1" applyFont="1" applyFill="1" applyBorder="1"/>
    <xf numFmtId="0" fontId="25" fillId="19" borderId="90" xfId="2" applyFont="1" applyFill="1" applyBorder="1"/>
    <xf numFmtId="166" fontId="43" fillId="0" borderId="17" xfId="2" applyNumberFormat="1" applyFont="1" applyBorder="1" applyAlignment="1">
      <alignment horizontal="right"/>
    </xf>
    <xf numFmtId="166" fontId="43" fillId="0" borderId="17" xfId="2" applyNumberFormat="1" applyFont="1" applyBorder="1"/>
    <xf numFmtId="166" fontId="25" fillId="0" borderId="11" xfId="2" applyNumberFormat="1" applyFont="1" applyBorder="1"/>
    <xf numFmtId="0" fontId="25" fillId="19" borderId="11" xfId="2" applyFont="1" applyFill="1" applyBorder="1"/>
    <xf numFmtId="166" fontId="25" fillId="22" borderId="11" xfId="2" applyNumberFormat="1" applyFont="1" applyFill="1" applyBorder="1"/>
    <xf numFmtId="0" fontId="34" fillId="20" borderId="16" xfId="2" applyFont="1" applyFill="1" applyBorder="1" applyAlignment="1">
      <alignment horizontal="center"/>
    </xf>
    <xf numFmtId="0" fontId="34" fillId="20" borderId="10" xfId="2" applyFont="1" applyFill="1" applyBorder="1" applyAlignment="1">
      <alignment horizontal="center"/>
    </xf>
    <xf numFmtId="0" fontId="34" fillId="20" borderId="10" xfId="2" applyFont="1" applyFill="1" applyBorder="1"/>
    <xf numFmtId="0" fontId="25" fillId="21" borderId="75" xfId="2" applyFont="1" applyFill="1" applyBorder="1"/>
    <xf numFmtId="0" fontId="25" fillId="21" borderId="70" xfId="2" applyFont="1" applyFill="1" applyBorder="1"/>
    <xf numFmtId="0" fontId="25" fillId="21" borderId="61" xfId="2" applyFont="1" applyFill="1" applyBorder="1"/>
    <xf numFmtId="0" fontId="25" fillId="21" borderId="35" xfId="2" applyFont="1" applyFill="1" applyBorder="1"/>
    <xf numFmtId="0" fontId="25" fillId="21" borderId="50" xfId="2" applyFont="1" applyFill="1" applyBorder="1"/>
    <xf numFmtId="10" fontId="25" fillId="0" borderId="66" xfId="2" applyNumberFormat="1" applyFont="1" applyBorder="1"/>
    <xf numFmtId="10" fontId="25" fillId="23" borderId="99" xfId="2" applyNumberFormat="1" applyFont="1" applyFill="1" applyBorder="1"/>
    <xf numFmtId="10" fontId="25" fillId="23" borderId="90" xfId="2" applyNumberFormat="1" applyFont="1" applyFill="1" applyBorder="1"/>
    <xf numFmtId="10" fontId="43" fillId="23" borderId="90" xfId="2" applyNumberFormat="1" applyFont="1" applyFill="1" applyBorder="1"/>
    <xf numFmtId="0" fontId="25" fillId="23" borderId="90" xfId="2" applyFont="1" applyFill="1" applyBorder="1" applyAlignment="1">
      <alignment horizontal="right"/>
    </xf>
    <xf numFmtId="0" fontId="25" fillId="23" borderId="89" xfId="2" applyFont="1" applyFill="1" applyBorder="1"/>
    <xf numFmtId="166" fontId="2" fillId="0" borderId="19" xfId="2" applyNumberFormat="1" applyBorder="1"/>
    <xf numFmtId="166" fontId="25" fillId="0" borderId="37" xfId="2" applyNumberFormat="1" applyFont="1" applyBorder="1"/>
    <xf numFmtId="166" fontId="25" fillId="23" borderId="24" xfId="2" applyNumberFormat="1" applyFont="1" applyFill="1" applyBorder="1"/>
    <xf numFmtId="166" fontId="25" fillId="23" borderId="11" xfId="2" applyNumberFormat="1" applyFont="1" applyFill="1" applyBorder="1"/>
    <xf numFmtId="166" fontId="43" fillId="23" borderId="11" xfId="2" applyNumberFormat="1" applyFont="1" applyFill="1" applyBorder="1" applyAlignment="1">
      <alignment horizontal="right"/>
    </xf>
    <xf numFmtId="0" fontId="25" fillId="23" borderId="11" xfId="2" applyFont="1" applyFill="1" applyBorder="1" applyAlignment="1">
      <alignment horizontal="right"/>
    </xf>
    <xf numFmtId="0" fontId="25" fillId="23" borderId="23" xfId="2" applyFont="1" applyFill="1" applyBorder="1"/>
    <xf numFmtId="166" fontId="25" fillId="0" borderId="16" xfId="2" applyNumberFormat="1" applyFont="1" applyBorder="1" applyAlignment="1">
      <alignment horizontal="right"/>
    </xf>
    <xf numFmtId="166" fontId="25" fillId="0" borderId="67" xfId="2" applyNumberFormat="1" applyFont="1" applyBorder="1"/>
    <xf numFmtId="166" fontId="25" fillId="23" borderId="33" xfId="2" applyNumberFormat="1" applyFont="1" applyFill="1" applyBorder="1"/>
    <xf numFmtId="166" fontId="25" fillId="23" borderId="10" xfId="2" applyNumberFormat="1" applyFont="1" applyFill="1" applyBorder="1"/>
    <xf numFmtId="166" fontId="25" fillId="23" borderId="16" xfId="2" applyNumberFormat="1" applyFont="1" applyFill="1" applyBorder="1"/>
    <xf numFmtId="0" fontId="25" fillId="23" borderId="22" xfId="2" applyFont="1" applyFill="1" applyBorder="1"/>
    <xf numFmtId="166" fontId="25" fillId="0" borderId="34" xfId="2" applyNumberFormat="1" applyFont="1" applyBorder="1" applyAlignment="1">
      <alignment horizontal="right"/>
    </xf>
    <xf numFmtId="166" fontId="43" fillId="9" borderId="32" xfId="2" applyNumberFormat="1" applyFont="1" applyFill="1" applyBorder="1"/>
    <xf numFmtId="166" fontId="25" fillId="0" borderId="32" xfId="2" applyNumberFormat="1" applyFont="1" applyBorder="1" applyAlignment="1">
      <alignment horizontal="right"/>
    </xf>
    <xf numFmtId="0" fontId="25" fillId="0" borderId="31" xfId="2" applyFont="1" applyBorder="1"/>
    <xf numFmtId="166" fontId="25" fillId="0" borderId="33" xfId="2" applyNumberFormat="1" applyFont="1" applyBorder="1" applyAlignment="1">
      <alignment horizontal="right"/>
    </xf>
    <xf numFmtId="166" fontId="25" fillId="9" borderId="10" xfId="2" applyNumberFormat="1" applyFont="1" applyFill="1" applyBorder="1"/>
    <xf numFmtId="166" fontId="25" fillId="0" borderId="10" xfId="2" applyNumberFormat="1" applyFont="1" applyBorder="1" applyAlignment="1">
      <alignment horizontal="right"/>
    </xf>
    <xf numFmtId="0" fontId="25" fillId="0" borderId="22" xfId="2" applyFont="1" applyBorder="1"/>
    <xf numFmtId="166" fontId="25" fillId="0" borderId="24" xfId="2" applyNumberFormat="1" applyFont="1" applyBorder="1" applyAlignment="1">
      <alignment horizontal="right"/>
    </xf>
    <xf numFmtId="166" fontId="25" fillId="9" borderId="11" xfId="2" applyNumberFormat="1" applyFont="1" applyFill="1" applyBorder="1"/>
    <xf numFmtId="166" fontId="25" fillId="9" borderId="17" xfId="2" applyNumberFormat="1" applyFont="1" applyFill="1" applyBorder="1"/>
    <xf numFmtId="0" fontId="25" fillId="0" borderId="23" xfId="2" applyFont="1" applyBorder="1"/>
    <xf numFmtId="166" fontId="25" fillId="9" borderId="11" xfId="2" applyNumberFormat="1" applyFont="1" applyFill="1" applyBorder="1" applyAlignment="1">
      <alignment horizontal="right"/>
    </xf>
    <xf numFmtId="166" fontId="25" fillId="9" borderId="17" xfId="2" applyNumberFormat="1" applyFont="1" applyFill="1" applyBorder="1" applyAlignment="1">
      <alignment horizontal="right"/>
    </xf>
    <xf numFmtId="166" fontId="25" fillId="0" borderId="11" xfId="2" applyNumberFormat="1" applyFont="1" applyBorder="1" applyAlignment="1">
      <alignment horizontal="right"/>
    </xf>
    <xf numFmtId="166" fontId="25" fillId="0" borderId="24" xfId="2" applyNumberFormat="1" applyFont="1" applyBorder="1"/>
    <xf numFmtId="0" fontId="34" fillId="20" borderId="17" xfId="2" applyFont="1" applyFill="1" applyBorder="1" applyAlignment="1">
      <alignment horizontal="center"/>
    </xf>
    <xf numFmtId="0" fontId="34" fillId="20" borderId="37" xfId="2" applyFont="1" applyFill="1" applyBorder="1" applyAlignment="1">
      <alignment horizontal="center"/>
    </xf>
    <xf numFmtId="0" fontId="34" fillId="20" borderId="24" xfId="2" applyFont="1" applyFill="1" applyBorder="1" applyAlignment="1">
      <alignment horizontal="center"/>
    </xf>
    <xf numFmtId="0" fontId="34" fillId="20" borderId="11" xfId="2" applyFont="1" applyFill="1" applyBorder="1" applyAlignment="1">
      <alignment horizontal="center"/>
    </xf>
    <xf numFmtId="0" fontId="34" fillId="20" borderId="23" xfId="2" applyFont="1" applyFill="1" applyBorder="1"/>
    <xf numFmtId="0" fontId="43" fillId="0" borderId="19" xfId="2" applyFont="1" applyBorder="1" applyAlignment="1">
      <alignment horizontal="center"/>
    </xf>
    <xf numFmtId="0" fontId="43" fillId="0" borderId="0" xfId="2" applyFont="1" applyAlignment="1">
      <alignment horizontal="center"/>
    </xf>
    <xf numFmtId="0" fontId="34" fillId="20" borderId="42" xfId="2" applyFont="1" applyFill="1" applyBorder="1" applyAlignment="1">
      <alignment horizontal="center"/>
    </xf>
    <xf numFmtId="0" fontId="34" fillId="20" borderId="41" xfId="2" applyFont="1" applyFill="1" applyBorder="1" applyAlignment="1">
      <alignment horizontal="center"/>
    </xf>
    <xf numFmtId="0" fontId="34" fillId="20" borderId="21" xfId="2" applyFont="1" applyFill="1" applyBorder="1" applyAlignment="1">
      <alignment horizontal="center"/>
    </xf>
    <xf numFmtId="0" fontId="34" fillId="20" borderId="20" xfId="2" applyFont="1" applyFill="1" applyBorder="1"/>
    <xf numFmtId="0" fontId="43" fillId="0" borderId="0" xfId="2" applyFont="1"/>
    <xf numFmtId="166" fontId="25" fillId="9" borderId="35" xfId="2" applyNumberFormat="1" applyFont="1" applyFill="1" applyBorder="1"/>
    <xf numFmtId="166" fontId="43" fillId="23" borderId="17" xfId="2" applyNumberFormat="1" applyFont="1" applyFill="1" applyBorder="1" applyAlignment="1">
      <alignment horizontal="right"/>
    </xf>
    <xf numFmtId="10" fontId="43" fillId="23" borderId="104" xfId="2" applyNumberFormat="1" applyFont="1" applyFill="1" applyBorder="1"/>
    <xf numFmtId="164" fontId="0" fillId="5" borderId="0" xfId="0" applyNumberFormat="1" applyFill="1"/>
    <xf numFmtId="166" fontId="35" fillId="0" borderId="37" xfId="0" applyNumberFormat="1" applyFont="1" applyBorder="1" applyAlignment="1">
      <alignment horizontal="left"/>
    </xf>
    <xf numFmtId="0" fontId="35" fillId="0" borderId="66" xfId="0" applyFont="1" applyBorder="1" applyAlignment="1">
      <alignment horizontal="left" wrapText="1"/>
    </xf>
    <xf numFmtId="0" fontId="40" fillId="0" borderId="66" xfId="0" applyFont="1" applyBorder="1" applyAlignment="1">
      <alignment wrapText="1"/>
    </xf>
    <xf numFmtId="0" fontId="40" fillId="0" borderId="66" xfId="0" applyFont="1" applyBorder="1" applyAlignment="1">
      <alignment horizontal="left" vertical="top" wrapText="1"/>
    </xf>
    <xf numFmtId="166" fontId="25" fillId="9" borderId="32" xfId="2" applyNumberFormat="1" applyFont="1" applyFill="1" applyBorder="1"/>
    <xf numFmtId="166" fontId="25" fillId="23" borderId="11" xfId="2" applyNumberFormat="1" applyFont="1" applyFill="1" applyBorder="1" applyAlignment="1">
      <alignment horizontal="right"/>
    </xf>
    <xf numFmtId="6" fontId="25" fillId="0" borderId="10" xfId="0" applyNumberFormat="1" applyFont="1" applyBorder="1" applyAlignment="1">
      <alignment horizontal="right" vertical="top" wrapText="1"/>
    </xf>
    <xf numFmtId="166" fontId="38" fillId="13" borderId="9" xfId="0" applyNumberFormat="1" applyFont="1" applyFill="1" applyBorder="1" applyAlignment="1">
      <alignment horizontal="right"/>
    </xf>
    <xf numFmtId="166" fontId="38" fillId="23" borderId="6" xfId="0" applyNumberFormat="1" applyFont="1" applyFill="1" applyBorder="1" applyAlignment="1">
      <alignment horizontal="right"/>
    </xf>
    <xf numFmtId="166" fontId="48" fillId="12" borderId="6" xfId="0" applyNumberFormat="1" applyFont="1" applyFill="1" applyBorder="1" applyAlignment="1">
      <alignment horizontal="right"/>
    </xf>
    <xf numFmtId="165" fontId="48" fillId="12" borderId="32" xfId="1" applyNumberFormat="1" applyFont="1" applyFill="1" applyBorder="1" applyAlignment="1">
      <alignment horizontal="right"/>
    </xf>
    <xf numFmtId="166" fontId="35" fillId="0" borderId="11" xfId="0" applyNumberFormat="1" applyFont="1" applyBorder="1" applyAlignment="1">
      <alignment horizontal="left" wrapText="1"/>
    </xf>
    <xf numFmtId="166" fontId="35" fillId="0" borderId="2" xfId="0" applyNumberFormat="1" applyFont="1" applyBorder="1" applyAlignment="1">
      <alignment horizontal="left"/>
    </xf>
    <xf numFmtId="0" fontId="40" fillId="0" borderId="19" xfId="0" applyFont="1" applyBorder="1" applyAlignment="1">
      <alignment wrapText="1"/>
    </xf>
    <xf numFmtId="0" fontId="40" fillId="0" borderId="26" xfId="0" applyFont="1" applyBorder="1" applyAlignment="1">
      <alignment wrapText="1"/>
    </xf>
    <xf numFmtId="0" fontId="35" fillId="0" borderId="11" xfId="0" applyFont="1" applyBorder="1" applyAlignment="1">
      <alignment horizontal="left" wrapText="1"/>
    </xf>
    <xf numFmtId="0" fontId="42" fillId="6" borderId="83" xfId="0" applyFont="1" applyFill="1" applyBorder="1" applyAlignment="1">
      <alignment horizontal="left" vertical="center" wrapText="1"/>
    </xf>
    <xf numFmtId="0" fontId="42" fillId="6" borderId="10" xfId="0" applyFont="1" applyFill="1" applyBorder="1" applyAlignment="1">
      <alignment horizontal="center" vertical="center" wrapText="1"/>
    </xf>
    <xf numFmtId="0" fontId="42" fillId="6" borderId="33" xfId="0" applyFont="1" applyFill="1" applyBorder="1" applyAlignment="1">
      <alignment horizontal="center" vertical="center" wrapText="1"/>
    </xf>
    <xf numFmtId="166" fontId="38" fillId="13" borderId="49" xfId="0" applyNumberFormat="1" applyFont="1" applyFill="1" applyBorder="1" applyAlignment="1">
      <alignment horizontal="right"/>
    </xf>
    <xf numFmtId="166" fontId="38" fillId="23" borderId="45" xfId="0" applyNumberFormat="1" applyFont="1" applyFill="1" applyBorder="1" applyAlignment="1">
      <alignment horizontal="right"/>
    </xf>
    <xf numFmtId="0" fontId="35" fillId="0" borderId="83" xfId="0" applyFont="1" applyBorder="1"/>
    <xf numFmtId="166" fontId="35" fillId="0" borderId="17" xfId="0" applyNumberFormat="1" applyFont="1" applyBorder="1" applyAlignment="1">
      <alignment horizontal="left" wrapText="1"/>
    </xf>
    <xf numFmtId="0" fontId="35" fillId="0" borderId="17" xfId="0" applyFont="1" applyBorder="1" applyAlignment="1">
      <alignment horizontal="left" wrapText="1"/>
    </xf>
    <xf numFmtId="6" fontId="35" fillId="0" borderId="19" xfId="0" applyNumberFormat="1" applyFont="1" applyBorder="1" applyAlignment="1">
      <alignment horizontal="left" wrapText="1"/>
    </xf>
    <xf numFmtId="164" fontId="51" fillId="0" borderId="0" xfId="0" applyNumberFormat="1" applyFont="1"/>
    <xf numFmtId="165" fontId="38" fillId="21" borderId="52" xfId="1" applyNumberFormat="1" applyFont="1" applyFill="1" applyBorder="1"/>
    <xf numFmtId="166" fontId="35" fillId="9" borderId="54" xfId="0" applyNumberFormat="1" applyFont="1" applyFill="1" applyBorder="1" applyAlignment="1">
      <alignment horizontal="right"/>
    </xf>
    <xf numFmtId="166" fontId="40" fillId="9" borderId="62" xfId="0" applyNumberFormat="1" applyFont="1" applyFill="1" applyBorder="1" applyAlignment="1">
      <alignment horizontal="right"/>
    </xf>
    <xf numFmtId="166" fontId="35" fillId="9" borderId="97" xfId="0" applyNumberFormat="1" applyFont="1" applyFill="1" applyBorder="1" applyAlignment="1">
      <alignment horizontal="right"/>
    </xf>
    <xf numFmtId="166" fontId="35" fillId="9" borderId="52" xfId="0" applyNumberFormat="1" applyFont="1" applyFill="1" applyBorder="1" applyAlignment="1">
      <alignment horizontal="right"/>
    </xf>
    <xf numFmtId="166" fontId="38" fillId="0" borderId="55" xfId="0" applyNumberFormat="1" applyFont="1" applyBorder="1"/>
    <xf numFmtId="10" fontId="38" fillId="0" borderId="55" xfId="0" applyNumberFormat="1" applyFont="1" applyBorder="1"/>
    <xf numFmtId="166" fontId="38" fillId="0" borderId="58" xfId="0" applyNumberFormat="1" applyFont="1" applyBorder="1"/>
    <xf numFmtId="166" fontId="39" fillId="0" borderId="55" xfId="0" applyNumberFormat="1" applyFont="1" applyBorder="1"/>
    <xf numFmtId="165" fontId="39" fillId="0" borderId="52" xfId="1" applyNumberFormat="1" applyFont="1" applyBorder="1"/>
    <xf numFmtId="0" fontId="42" fillId="6" borderId="16" xfId="0" applyFont="1" applyFill="1" applyBorder="1" applyAlignment="1">
      <alignment horizontal="center" vertical="center" wrapText="1"/>
    </xf>
    <xf numFmtId="166" fontId="39" fillId="12" borderId="45" xfId="0" applyNumberFormat="1" applyFont="1" applyFill="1" applyBorder="1"/>
    <xf numFmtId="165" fontId="39" fillId="12" borderId="34" xfId="1" applyNumberFormat="1" applyFont="1" applyFill="1" applyBorder="1"/>
    <xf numFmtId="0" fontId="40" fillId="0" borderId="3" xfId="0" applyFont="1" applyBorder="1" applyAlignment="1">
      <alignment wrapText="1"/>
    </xf>
    <xf numFmtId="6" fontId="35" fillId="0" borderId="3" xfId="0" applyNumberFormat="1" applyFont="1" applyBorder="1" applyAlignment="1">
      <alignment horizontal="left" wrapText="1"/>
    </xf>
    <xf numFmtId="166" fontId="39" fillId="12" borderId="59" xfId="0" applyNumberFormat="1" applyFont="1" applyFill="1" applyBorder="1"/>
    <xf numFmtId="165" fontId="39" fillId="12" borderId="35" xfId="1" applyNumberFormat="1" applyFont="1" applyFill="1" applyBorder="1"/>
    <xf numFmtId="0" fontId="35" fillId="0" borderId="11" xfId="0" applyFont="1" applyBorder="1" applyAlignment="1">
      <alignment wrapText="1"/>
    </xf>
    <xf numFmtId="0" fontId="35" fillId="0" borderId="17" xfId="0" applyFont="1" applyBorder="1" applyAlignment="1">
      <alignment wrapText="1"/>
    </xf>
    <xf numFmtId="0" fontId="35" fillId="0" borderId="99" xfId="0" applyFont="1" applyBorder="1" applyAlignment="1">
      <alignment horizontal="left" vertical="top" wrapText="1"/>
    </xf>
    <xf numFmtId="166" fontId="35" fillId="0" borderId="18" xfId="0" applyNumberFormat="1" applyFont="1" applyBorder="1" applyAlignment="1">
      <alignment horizontal="left"/>
    </xf>
    <xf numFmtId="0" fontId="35" fillId="0" borderId="104" xfId="0" applyFont="1" applyBorder="1" applyAlignment="1">
      <alignment horizontal="left" vertical="top" wrapText="1"/>
    </xf>
    <xf numFmtId="9" fontId="35" fillId="0" borderId="17" xfId="0" applyNumberFormat="1" applyFont="1" applyBorder="1" applyAlignment="1">
      <alignment horizontal="left"/>
    </xf>
    <xf numFmtId="9" fontId="35" fillId="0" borderId="11" xfId="0" applyNumberFormat="1" applyFont="1" applyBorder="1" applyAlignment="1">
      <alignment horizontal="left"/>
    </xf>
    <xf numFmtId="0" fontId="35" fillId="0" borderId="50" xfId="0" applyFont="1" applyBorder="1"/>
    <xf numFmtId="5" fontId="0" fillId="0" borderId="0" xfId="80" applyNumberFormat="1" applyFont="1"/>
    <xf numFmtId="9" fontId="35" fillId="0" borderId="11" xfId="0" applyNumberFormat="1" applyFont="1" applyBorder="1" applyAlignment="1">
      <alignment horizontal="left" vertical="top" wrapText="1"/>
    </xf>
    <xf numFmtId="3" fontId="47" fillId="0" borderId="18" xfId="0" applyNumberFormat="1" applyFont="1" applyBorder="1" applyAlignment="1">
      <alignment horizontal="center" wrapText="1"/>
    </xf>
    <xf numFmtId="16" fontId="39" fillId="0" borderId="19" xfId="0" applyNumberFormat="1" applyFont="1" applyBorder="1" applyAlignment="1">
      <alignment horizontal="center"/>
    </xf>
    <xf numFmtId="3" fontId="39" fillId="0" borderId="19" xfId="0" applyNumberFormat="1" applyFont="1" applyBorder="1" applyAlignment="1">
      <alignment horizontal="center"/>
    </xf>
    <xf numFmtId="3" fontId="54" fillId="0" borderId="28" xfId="0" applyNumberFormat="1" applyFont="1" applyBorder="1" applyAlignment="1">
      <alignment horizontal="center"/>
    </xf>
    <xf numFmtId="0" fontId="38" fillId="0" borderId="65" xfId="0" applyFont="1" applyBorder="1"/>
    <xf numFmtId="0" fontId="42" fillId="6" borderId="109" xfId="0" applyFont="1" applyFill="1" applyBorder="1" applyAlignment="1">
      <alignment horizontal="left" vertical="center" wrapText="1"/>
    </xf>
    <xf numFmtId="0" fontId="42" fillId="6" borderId="78" xfId="0" applyFont="1" applyFill="1" applyBorder="1" applyAlignment="1">
      <alignment horizontal="center" vertical="center" wrapText="1"/>
    </xf>
    <xf numFmtId="0" fontId="42" fillId="6" borderId="80" xfId="0" applyFont="1" applyFill="1" applyBorder="1" applyAlignment="1">
      <alignment horizontal="center" vertical="center" wrapText="1"/>
    </xf>
    <xf numFmtId="0" fontId="42" fillId="6" borderId="81" xfId="0" applyFont="1" applyFill="1" applyBorder="1" applyAlignment="1">
      <alignment horizontal="center" vertical="center" wrapText="1"/>
    </xf>
    <xf numFmtId="166" fontId="35" fillId="0" borderId="28" xfId="0" applyNumberFormat="1" applyFont="1" applyBorder="1" applyAlignment="1">
      <alignment horizontal="left"/>
    </xf>
    <xf numFmtId="9" fontId="35" fillId="0" borderId="24" xfId="0" applyNumberFormat="1" applyFont="1" applyBorder="1" applyAlignment="1">
      <alignment horizontal="left"/>
    </xf>
    <xf numFmtId="166" fontId="35" fillId="0" borderId="24" xfId="0" applyNumberFormat="1" applyFont="1" applyBorder="1" applyAlignment="1">
      <alignment horizontal="left" wrapText="1"/>
    </xf>
    <xf numFmtId="0" fontId="35" fillId="0" borderId="24" xfId="0" applyFont="1" applyBorder="1" applyAlignment="1">
      <alignment horizontal="left" wrapText="1"/>
    </xf>
    <xf numFmtId="6" fontId="35" fillId="0" borderId="26" xfId="0" applyNumberFormat="1" applyFont="1" applyBorder="1" applyAlignment="1">
      <alignment horizontal="left" wrapText="1"/>
    </xf>
    <xf numFmtId="0" fontId="35" fillId="0" borderId="24" xfId="0" applyFont="1" applyBorder="1" applyAlignment="1">
      <alignment wrapText="1"/>
    </xf>
    <xf numFmtId="0" fontId="35" fillId="0" borderId="90" xfId="0" applyFont="1" applyBorder="1" applyAlignment="1">
      <alignment horizontal="left" vertical="top" wrapText="1"/>
    </xf>
    <xf numFmtId="0" fontId="13" fillId="6" borderId="43" xfId="0" applyFont="1" applyFill="1" applyBorder="1" applyAlignment="1">
      <alignment horizontal="left" vertical="center" wrapText="1"/>
    </xf>
    <xf numFmtId="0" fontId="0" fillId="0" borderId="37" xfId="0" applyBorder="1" applyAlignment="1">
      <alignment horizontal="left" vertical="center" wrapText="1"/>
    </xf>
    <xf numFmtId="0" fontId="5" fillId="0" borderId="82" xfId="0" applyFont="1" applyBorder="1"/>
    <xf numFmtId="0" fontId="0" fillId="0" borderId="70" xfId="0" applyBorder="1"/>
    <xf numFmtId="0" fontId="4" fillId="0" borderId="50" xfId="0" applyFont="1" applyBorder="1"/>
    <xf numFmtId="0" fontId="0" fillId="0" borderId="61" xfId="0" applyBorder="1"/>
    <xf numFmtId="0" fontId="4" fillId="0" borderId="48" xfId="0" applyFont="1" applyBorder="1"/>
    <xf numFmtId="0" fontId="0" fillId="0" borderId="7" xfId="0" applyBorder="1"/>
    <xf numFmtId="0" fontId="0" fillId="0" borderId="8" xfId="0" applyBorder="1"/>
    <xf numFmtId="0" fontId="4" fillId="0" borderId="44" xfId="0" applyFont="1" applyBorder="1"/>
    <xf numFmtId="0" fontId="0" fillId="0" borderId="4" xfId="0" applyBorder="1"/>
    <xf numFmtId="0" fontId="0" fillId="0" borderId="5" xfId="0" applyBorder="1"/>
    <xf numFmtId="0" fontId="4" fillId="0" borderId="44" xfId="0" quotePrefix="1" applyFont="1" applyBorder="1"/>
    <xf numFmtId="0" fontId="44" fillId="0" borderId="0" xfId="0" applyFont="1" applyAlignment="1">
      <alignment horizontal="left" vertical="top" wrapText="1"/>
    </xf>
    <xf numFmtId="0" fontId="44" fillId="0" borderId="19" xfId="0" applyFont="1" applyBorder="1" applyAlignment="1">
      <alignment horizontal="left" vertical="top" wrapText="1"/>
    </xf>
    <xf numFmtId="0" fontId="44" fillId="0" borderId="0" xfId="2" applyFont="1" applyAlignment="1">
      <alignment horizontal="left" vertical="top" wrapText="1"/>
    </xf>
    <xf numFmtId="0" fontId="37" fillId="0" borderId="0" xfId="0" applyFont="1" applyAlignment="1">
      <alignment horizontal="left" vertical="top" wrapText="1"/>
    </xf>
    <xf numFmtId="8" fontId="25" fillId="0" borderId="26" xfId="0" applyNumberFormat="1" applyFont="1" applyBorder="1" applyAlignment="1">
      <alignment horizontal="center" vertical="center" wrapText="1"/>
    </xf>
    <xf numFmtId="0" fontId="25" fillId="0" borderId="26" xfId="0" applyFont="1" applyBorder="1" applyAlignment="1">
      <alignment horizontal="center" vertical="center" wrapText="1"/>
    </xf>
    <xf numFmtId="0" fontId="25" fillId="0" borderId="33" xfId="0" applyFont="1" applyBorder="1" applyAlignment="1">
      <alignment horizontal="center" vertical="center" wrapText="1"/>
    </xf>
    <xf numFmtId="8" fontId="25" fillId="0" borderId="19" xfId="0" applyNumberFormat="1" applyFont="1" applyBorder="1" applyAlignment="1">
      <alignment horizontal="center" vertical="center" wrapText="1"/>
    </xf>
    <xf numFmtId="0" fontId="25" fillId="0" borderId="19" xfId="0" applyFont="1" applyBorder="1" applyAlignment="1">
      <alignment horizontal="center" vertical="center" wrapText="1"/>
    </xf>
    <xf numFmtId="0" fontId="25" fillId="0" borderId="16" xfId="0" applyFont="1" applyBorder="1" applyAlignment="1">
      <alignment horizontal="center" vertical="center" wrapText="1"/>
    </xf>
    <xf numFmtId="0" fontId="11" fillId="6" borderId="38" xfId="0" applyFont="1" applyFill="1" applyBorder="1" applyAlignment="1">
      <alignment horizontal="center" vertical="top" wrapText="1"/>
    </xf>
    <xf numFmtId="0" fontId="11" fillId="6" borderId="39" xfId="0" applyFont="1" applyFill="1" applyBorder="1" applyAlignment="1">
      <alignment horizontal="center" vertical="top" wrapText="1"/>
    </xf>
    <xf numFmtId="0" fontId="0" fillId="0" borderId="39" xfId="0" applyBorder="1" applyAlignment="1">
      <alignment horizontal="center" vertical="top" wrapText="1"/>
    </xf>
    <xf numFmtId="0" fontId="0" fillId="0" borderId="53" xfId="0" applyBorder="1" applyAlignment="1">
      <alignment horizontal="center" vertical="top" wrapText="1"/>
    </xf>
    <xf numFmtId="0" fontId="11" fillId="6" borderId="41" xfId="0" applyFont="1" applyFill="1" applyBorder="1" applyAlignment="1">
      <alignment horizontal="center" vertical="top" wrapText="1"/>
    </xf>
    <xf numFmtId="0" fontId="11" fillId="6" borderId="21" xfId="0" applyFont="1" applyFill="1" applyBorder="1" applyAlignment="1">
      <alignment horizontal="center" vertical="top" wrapText="1"/>
    </xf>
    <xf numFmtId="166" fontId="19" fillId="2" borderId="43" xfId="0" applyNumberFormat="1" applyFont="1" applyFill="1" applyBorder="1" applyAlignment="1">
      <alignment horizontal="center"/>
    </xf>
    <xf numFmtId="166" fontId="19" fillId="2" borderId="36" xfId="0" applyNumberFormat="1" applyFont="1" applyFill="1" applyBorder="1" applyAlignment="1">
      <alignment horizontal="center"/>
    </xf>
    <xf numFmtId="164" fontId="10" fillId="4" borderId="11" xfId="0" applyNumberFormat="1" applyFont="1" applyFill="1" applyBorder="1" applyAlignment="1">
      <alignment horizontal="center"/>
    </xf>
    <xf numFmtId="166" fontId="2" fillId="9" borderId="11" xfId="0" applyNumberFormat="1" applyFont="1" applyFill="1" applyBorder="1" applyAlignment="1">
      <alignment horizontal="center"/>
    </xf>
    <xf numFmtId="166" fontId="2" fillId="2" borderId="2" xfId="0" applyNumberFormat="1" applyFont="1" applyFill="1" applyBorder="1" applyAlignment="1">
      <alignment horizontal="center"/>
    </xf>
    <xf numFmtId="0" fontId="11" fillId="6" borderId="53" xfId="0" applyFont="1" applyFill="1" applyBorder="1" applyAlignment="1">
      <alignment horizontal="center" vertical="top" wrapText="1"/>
    </xf>
    <xf numFmtId="164" fontId="10" fillId="4" borderId="43" xfId="0" applyNumberFormat="1" applyFont="1" applyFill="1" applyBorder="1" applyAlignment="1">
      <alignment horizontal="center"/>
    </xf>
    <xf numFmtId="164" fontId="10" fillId="4" borderId="36" xfId="0" applyNumberFormat="1" applyFont="1" applyFill="1" applyBorder="1" applyAlignment="1">
      <alignment horizontal="center"/>
    </xf>
    <xf numFmtId="0" fontId="11" fillId="4" borderId="11" xfId="0" applyFont="1" applyFill="1" applyBorder="1" applyAlignment="1">
      <alignment horizontal="center" vertical="top" wrapText="1"/>
    </xf>
    <xf numFmtId="0" fontId="11" fillId="4" borderId="17" xfId="0" applyFont="1" applyFill="1" applyBorder="1" applyAlignment="1">
      <alignment horizontal="center" vertical="top" wrapText="1"/>
    </xf>
    <xf numFmtId="166" fontId="2" fillId="2" borderId="43" xfId="0" applyNumberFormat="1" applyFont="1" applyFill="1" applyBorder="1" applyAlignment="1">
      <alignment horizontal="center"/>
    </xf>
    <xf numFmtId="166" fontId="2" fillId="2" borderId="36" xfId="0" applyNumberFormat="1" applyFont="1" applyFill="1" applyBorder="1" applyAlignment="1">
      <alignment horizontal="center"/>
    </xf>
    <xf numFmtId="0" fontId="11" fillId="4" borderId="43" xfId="0" applyFont="1" applyFill="1" applyBorder="1" applyAlignment="1">
      <alignment horizontal="center" vertical="top" wrapText="1"/>
    </xf>
    <xf numFmtId="0" fontId="11" fillId="4" borderId="37" xfId="0" applyFont="1" applyFill="1" applyBorder="1" applyAlignment="1">
      <alignment horizontal="center" vertical="top" wrapText="1"/>
    </xf>
    <xf numFmtId="0" fontId="11" fillId="4" borderId="54" xfId="0" applyFont="1" applyFill="1" applyBorder="1" applyAlignment="1">
      <alignment horizontal="center" vertical="top" wrapText="1"/>
    </xf>
    <xf numFmtId="0" fontId="0" fillId="0" borderId="37" xfId="0" applyBorder="1" applyAlignment="1">
      <alignment horizontal="center" vertical="top" wrapText="1"/>
    </xf>
    <xf numFmtId="0" fontId="0" fillId="0" borderId="54" xfId="0" applyBorder="1" applyAlignment="1">
      <alignment horizontal="center" vertical="top" wrapText="1"/>
    </xf>
    <xf numFmtId="0" fontId="11" fillId="4" borderId="23" xfId="0" applyFont="1" applyFill="1" applyBorder="1" applyAlignment="1">
      <alignment horizontal="center" vertical="top" wrapText="1"/>
    </xf>
    <xf numFmtId="0" fontId="11" fillId="4" borderId="24" xfId="0" applyFont="1" applyFill="1" applyBorder="1" applyAlignment="1">
      <alignment horizontal="center" vertical="top" wrapText="1"/>
    </xf>
    <xf numFmtId="164" fontId="10" fillId="4" borderId="17" xfId="0" applyNumberFormat="1" applyFont="1" applyFill="1" applyBorder="1" applyAlignment="1">
      <alignment horizontal="center"/>
    </xf>
    <xf numFmtId="166" fontId="2" fillId="2" borderId="17" xfId="0" applyNumberFormat="1" applyFont="1" applyFill="1" applyBorder="1" applyAlignment="1">
      <alignment horizontal="center"/>
    </xf>
    <xf numFmtId="0" fontId="11" fillId="6" borderId="20" xfId="0" applyFont="1" applyFill="1" applyBorder="1" applyAlignment="1">
      <alignment horizontal="center" vertical="top" wrapText="1"/>
    </xf>
    <xf numFmtId="0" fontId="11" fillId="6" borderId="42" xfId="0" applyFont="1" applyFill="1" applyBorder="1" applyAlignment="1">
      <alignment horizontal="center" vertical="top" wrapText="1"/>
    </xf>
    <xf numFmtId="166" fontId="2" fillId="2" borderId="25" xfId="0" applyNumberFormat="1" applyFont="1" applyFill="1" applyBorder="1" applyAlignment="1">
      <alignment horizontal="center"/>
    </xf>
    <xf numFmtId="164" fontId="10" fillId="4" borderId="23" xfId="0" applyNumberFormat="1" applyFont="1" applyFill="1" applyBorder="1" applyAlignment="1">
      <alignment horizontal="center"/>
    </xf>
    <xf numFmtId="166" fontId="2" fillId="9" borderId="23" xfId="0" applyNumberFormat="1" applyFont="1" applyFill="1" applyBorder="1" applyAlignment="1">
      <alignment horizontal="center"/>
    </xf>
    <xf numFmtId="6" fontId="2" fillId="2" borderId="29" xfId="0" applyNumberFormat="1" applyFont="1" applyFill="1" applyBorder="1" applyAlignment="1">
      <alignment horizontal="center"/>
    </xf>
    <xf numFmtId="6" fontId="2" fillId="2" borderId="12" xfId="0" applyNumberFormat="1" applyFont="1" applyFill="1" applyBorder="1" applyAlignment="1">
      <alignment horizontal="center"/>
    </xf>
    <xf numFmtId="6" fontId="19" fillId="2" borderId="30" xfId="0" applyNumberFormat="1" applyFont="1" applyFill="1" applyBorder="1" applyAlignment="1">
      <alignment horizontal="center"/>
    </xf>
    <xf numFmtId="6" fontId="19" fillId="2" borderId="1" xfId="0" applyNumberFormat="1" applyFont="1" applyFill="1" applyBorder="1" applyAlignment="1">
      <alignment horizontal="center"/>
    </xf>
    <xf numFmtId="166" fontId="19" fillId="2" borderId="50" xfId="0" applyNumberFormat="1" applyFont="1" applyFill="1" applyBorder="1" applyAlignment="1">
      <alignment horizontal="center"/>
    </xf>
    <xf numFmtId="166" fontId="19" fillId="2" borderId="51" xfId="0" applyNumberFormat="1" applyFont="1" applyFill="1" applyBorder="1" applyAlignment="1">
      <alignment horizontal="center"/>
    </xf>
    <xf numFmtId="0" fontId="11" fillId="6" borderId="76" xfId="0" applyFont="1" applyFill="1" applyBorder="1" applyAlignment="1">
      <alignment horizontal="center" vertical="top" wrapText="1"/>
    </xf>
    <xf numFmtId="0" fontId="11" fillId="6" borderId="65" xfId="0" applyFont="1" applyFill="1" applyBorder="1" applyAlignment="1">
      <alignment horizontal="center" vertical="top" wrapText="1"/>
    </xf>
    <xf numFmtId="0" fontId="11" fillId="6" borderId="79" xfId="0" applyFont="1" applyFill="1" applyBorder="1" applyAlignment="1">
      <alignment horizontal="center" vertical="top" wrapText="1"/>
    </xf>
    <xf numFmtId="164" fontId="10" fillId="4" borderId="16" xfId="0" applyNumberFormat="1" applyFont="1" applyFill="1" applyBorder="1" applyAlignment="1">
      <alignment horizontal="center"/>
    </xf>
    <xf numFmtId="164" fontId="10" fillId="4" borderId="84" xfId="0" applyNumberFormat="1" applyFont="1" applyFill="1" applyBorder="1" applyAlignment="1">
      <alignment horizontal="center"/>
    </xf>
    <xf numFmtId="166" fontId="2" fillId="2" borderId="54" xfId="0" applyNumberFormat="1" applyFont="1" applyFill="1" applyBorder="1" applyAlignment="1">
      <alignment horizontal="center"/>
    </xf>
    <xf numFmtId="166" fontId="2" fillId="9" borderId="17" xfId="0" applyNumberFormat="1" applyFont="1" applyFill="1" applyBorder="1" applyAlignment="1">
      <alignment horizontal="center"/>
    </xf>
    <xf numFmtId="166" fontId="2" fillId="9" borderId="54" xfId="0" applyNumberFormat="1" applyFont="1" applyFill="1" applyBorder="1" applyAlignment="1">
      <alignment horizontal="center"/>
    </xf>
    <xf numFmtId="0" fontId="24" fillId="0" borderId="11" xfId="0" applyFont="1" applyBorder="1" applyAlignment="1">
      <alignment horizontal="center" vertical="center"/>
    </xf>
    <xf numFmtId="0" fontId="24" fillId="0" borderId="90" xfId="0" applyFont="1" applyBorder="1" applyAlignment="1">
      <alignment horizontal="center" vertical="center"/>
    </xf>
    <xf numFmtId="0" fontId="27" fillId="0" borderId="0" xfId="0" applyFont="1" applyAlignment="1">
      <alignment horizontal="left" vertical="top" wrapText="1"/>
    </xf>
    <xf numFmtId="0" fontId="18" fillId="0" borderId="11" xfId="0" applyFont="1" applyBorder="1" applyAlignment="1">
      <alignment horizontal="center" vertical="center" wrapText="1"/>
    </xf>
    <xf numFmtId="0" fontId="17" fillId="0" borderId="11" xfId="0" applyFont="1" applyBorder="1" applyAlignment="1">
      <alignment horizontal="center" vertical="center" wrapText="1"/>
    </xf>
    <xf numFmtId="6" fontId="17" fillId="0" borderId="11" xfId="0" applyNumberFormat="1" applyFont="1" applyBorder="1" applyAlignment="1">
      <alignment horizontal="center" vertical="center" wrapText="1"/>
    </xf>
    <xf numFmtId="0" fontId="23" fillId="0" borderId="11" xfId="0" applyFont="1" applyBorder="1" applyAlignment="1">
      <alignment vertical="center" wrapText="1"/>
    </xf>
    <xf numFmtId="0" fontId="24" fillId="0" borderId="2" xfId="0" applyFont="1" applyBorder="1" applyAlignment="1">
      <alignment horizontal="center" vertical="center" wrapText="1"/>
    </xf>
    <xf numFmtId="0" fontId="24" fillId="0" borderId="10" xfId="0" applyFont="1" applyBorder="1" applyAlignment="1">
      <alignment horizontal="center" vertical="center" wrapText="1"/>
    </xf>
    <xf numFmtId="0" fontId="35" fillId="0" borderId="30" xfId="0" applyFont="1" applyFill="1" applyBorder="1"/>
    <xf numFmtId="164" fontId="35" fillId="0" borderId="3" xfId="0" applyNumberFormat="1" applyFont="1" applyFill="1" applyBorder="1" applyAlignment="1">
      <alignment horizontal="right"/>
    </xf>
    <xf numFmtId="164" fontId="35" fillId="0" borderId="19" xfId="0" applyNumberFormat="1" applyFont="1" applyFill="1" applyBorder="1" applyAlignment="1">
      <alignment horizontal="right"/>
    </xf>
    <xf numFmtId="164" fontId="35" fillId="0" borderId="26" xfId="0" applyNumberFormat="1" applyFont="1" applyFill="1" applyBorder="1" applyAlignment="1">
      <alignment horizontal="right"/>
    </xf>
    <xf numFmtId="0" fontId="0" fillId="0" borderId="0" xfId="0" applyFill="1"/>
    <xf numFmtId="164" fontId="35" fillId="0" borderId="3" xfId="0" applyNumberFormat="1" applyFont="1" applyBorder="1" applyAlignment="1">
      <alignment horizontal="center"/>
    </xf>
    <xf numFmtId="0" fontId="35" fillId="0" borderId="3" xfId="0" applyFont="1" applyBorder="1" applyAlignment="1">
      <alignment horizontal="center"/>
    </xf>
    <xf numFmtId="166" fontId="35" fillId="0" borderId="3" xfId="0" applyNumberFormat="1" applyFont="1" applyBorder="1" applyAlignment="1">
      <alignment horizontal="center"/>
    </xf>
    <xf numFmtId="166" fontId="35" fillId="0" borderId="6" xfId="0" applyNumberFormat="1" applyFont="1" applyBorder="1" applyAlignment="1">
      <alignment horizontal="center"/>
    </xf>
    <xf numFmtId="0" fontId="38" fillId="0" borderId="15" xfId="0" applyFont="1" applyBorder="1" applyAlignment="1">
      <alignment horizontal="center"/>
    </xf>
    <xf numFmtId="164" fontId="38" fillId="0" borderId="3" xfId="0" applyNumberFormat="1" applyFont="1" applyBorder="1" applyAlignment="1">
      <alignment horizontal="center"/>
    </xf>
    <xf numFmtId="166" fontId="38" fillId="0" borderId="3" xfId="0" applyNumberFormat="1" applyFont="1" applyBorder="1" applyAlignment="1">
      <alignment horizontal="center"/>
    </xf>
    <xf numFmtId="166" fontId="38" fillId="0" borderId="6" xfId="0" applyNumberFormat="1" applyFont="1" applyBorder="1" applyAlignment="1">
      <alignment horizontal="center"/>
    </xf>
    <xf numFmtId="0" fontId="35" fillId="0" borderId="38" xfId="0" applyFont="1" applyFill="1" applyBorder="1"/>
    <xf numFmtId="0" fontId="35" fillId="0" borderId="21" xfId="0" applyFont="1" applyFill="1" applyBorder="1"/>
    <xf numFmtId="0" fontId="35" fillId="0" borderId="41" xfId="0" applyFont="1" applyFill="1" applyBorder="1"/>
    <xf numFmtId="0" fontId="35" fillId="0" borderId="42" xfId="0" applyFont="1" applyFill="1" applyBorder="1"/>
  </cellXfs>
  <cellStyles count="82">
    <cellStyle name="Currency" xfId="80" builtinId="4"/>
    <cellStyle name="Currency 2" xfId="79" xr:uid="{B4C3FB66-2ECD-49E3-878C-1737CDAF558C}"/>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Normal" xfId="0" builtinId="0"/>
    <cellStyle name="Normal 2" xfId="2" xr:uid="{00000000-0005-0000-0000-00004B000000}"/>
    <cellStyle name="Normal 4 2" xfId="81" xr:uid="{A45DA168-C694-4302-B9D2-E4B94E4C218B}"/>
    <cellStyle name="Normal 5" xfId="77" xr:uid="{FB146A89-1033-4B39-B3B2-F59BDB949AF4}"/>
    <cellStyle name="Percent" xfId="1" builtinId="5"/>
    <cellStyle name="Percent 2" xfId="78" xr:uid="{97960189-ACA1-4660-B98A-BA301E3F25B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2B5E61"/>
      <rgbColor rgb="001A4973"/>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1A4973"/>
      <color rgb="FF2B5E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weegar\AppData\Local\Temp\EPM7BE5.tmp\Section%207%20-%20PBM\Exhibits\%235%20-%20DR%20Horton%20Pricing%20(No%20Cost%20Metrics)%20&amp;%20MAC%20List\DR%20Horton%20RP-%20No%20Cost%20Metric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Common\GROUP\Clients\City%20of%20Allen\2018-2019\Renewal%20Analysis\Medical%20RFP%20Analysis%20%20-%205.16.17%20-%20Revi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Ext. Summary"/>
      <sheetName val="Det. Summary"/>
      <sheetName val="Inputs"/>
      <sheetName val="Data - Summary"/>
    </sheetNames>
    <sheetDataSet>
      <sheetData sheetId="0" refreshError="1"/>
      <sheetData sheetId="1" refreshError="1"/>
      <sheetData sheetId="2"/>
      <sheetData sheetId="3" refreshError="1"/>
      <sheetData sheetId="4" refreshError="1"/>
      <sheetData sheetId="5">
        <row r="16">
          <cell r="A16" t="str">
            <v>key</v>
          </cell>
          <cell r="B16" t="str">
            <v>delivery</v>
          </cell>
          <cell r="C16" t="str">
            <v>drug_brand_cd</v>
          </cell>
          <cell r="D16" t="str">
            <v>provided_rx</v>
          </cell>
          <cell r="E16" t="str">
            <v>provided_ing</v>
          </cell>
          <cell r="F16" t="str">
            <v>provided_df</v>
          </cell>
          <cell r="G16" t="str">
            <v>provided_af</v>
          </cell>
          <cell r="H16" t="str">
            <v>provided_gross</v>
          </cell>
          <cell r="I16" t="str">
            <v>calc_clm_date_awp</v>
          </cell>
          <cell r="J16" t="str">
            <v>final_repriced_ic</v>
          </cell>
          <cell r="K16" t="str">
            <v>repriced_df_uc</v>
          </cell>
          <cell r="L16" t="str">
            <v>repriced_af_uc</v>
          </cell>
          <cell r="M16" t="str">
            <v>final_repriced_gross</v>
          </cell>
          <cell r="N16" t="str">
            <v>final_repriced_gross_uc</v>
          </cell>
          <cell r="O16" t="str">
            <v>MSBGEN_ic</v>
          </cell>
          <cell r="P16" t="str">
            <v>repriced_msbgen_gross</v>
          </cell>
          <cell r="Q16" t="str">
            <v>provided_discount</v>
          </cell>
        </row>
        <row r="17">
          <cell r="A17" t="str">
            <v>Mail/B</v>
          </cell>
          <cell r="B17" t="str">
            <v>Mail</v>
          </cell>
          <cell r="C17" t="str">
            <v>B</v>
          </cell>
          <cell r="D17">
            <v>3837</v>
          </cell>
          <cell r="E17">
            <v>2328118.5499999998</v>
          </cell>
          <cell r="F17">
            <v>0</v>
          </cell>
          <cell r="G17">
            <v>0</v>
          </cell>
          <cell r="H17">
            <v>2328118.5499999998</v>
          </cell>
          <cell r="I17">
            <v>2327907.5345000001</v>
          </cell>
          <cell r="J17">
            <v>1804128.3392</v>
          </cell>
          <cell r="K17">
            <v>0</v>
          </cell>
          <cell r="L17">
            <v>0</v>
          </cell>
          <cell r="M17">
            <v>1804128.3392</v>
          </cell>
          <cell r="N17">
            <v>1804128.3392</v>
          </cell>
          <cell r="O17">
            <v>1654326.6654000001</v>
          </cell>
          <cell r="P17">
            <v>1654326.6654000001</v>
          </cell>
          <cell r="Q17">
            <v>2284959.3695</v>
          </cell>
        </row>
        <row r="18">
          <cell r="A18" t="str">
            <v>Mail/G</v>
          </cell>
          <cell r="B18" t="str">
            <v>Mail</v>
          </cell>
          <cell r="C18" t="str">
            <v>G</v>
          </cell>
          <cell r="D18">
            <v>10274</v>
          </cell>
          <cell r="E18">
            <v>3025080.66</v>
          </cell>
          <cell r="F18">
            <v>0</v>
          </cell>
          <cell r="G18">
            <v>0</v>
          </cell>
          <cell r="H18">
            <v>3025080.66</v>
          </cell>
          <cell r="I18">
            <v>3025076.0586000001</v>
          </cell>
          <cell r="J18">
            <v>847021.29640800005</v>
          </cell>
          <cell r="K18">
            <v>0</v>
          </cell>
          <cell r="L18">
            <v>0</v>
          </cell>
          <cell r="M18">
            <v>847021.29640999995</v>
          </cell>
          <cell r="N18">
            <v>847021.29640800005</v>
          </cell>
          <cell r="O18">
            <v>845648.18660999998</v>
          </cell>
          <cell r="P18">
            <v>845648.18660999998</v>
          </cell>
          <cell r="Q18">
            <v>3020824.1351999999</v>
          </cell>
        </row>
        <row r="19">
          <cell r="A19" t="str">
            <v>Retail/B</v>
          </cell>
          <cell r="B19" t="str">
            <v>Retail</v>
          </cell>
          <cell r="C19" t="str">
            <v>B</v>
          </cell>
          <cell r="D19">
            <v>7553</v>
          </cell>
          <cell r="E19">
            <v>1707842.81</v>
          </cell>
          <cell r="F19">
            <v>0</v>
          </cell>
          <cell r="G19">
            <v>0</v>
          </cell>
          <cell r="H19">
            <v>1707842.81</v>
          </cell>
          <cell r="I19">
            <v>1707223.8162</v>
          </cell>
          <cell r="J19">
            <v>1410040.1318000001</v>
          </cell>
          <cell r="K19">
            <v>9731.85</v>
          </cell>
          <cell r="L19">
            <v>0</v>
          </cell>
          <cell r="M19">
            <v>1443844.1831</v>
          </cell>
          <cell r="N19">
            <v>1419771.9818</v>
          </cell>
          <cell r="O19">
            <v>1252998.8292</v>
          </cell>
          <cell r="P19">
            <v>1262743.6791999999</v>
          </cell>
          <cell r="Q19">
            <v>1646847.1183</v>
          </cell>
        </row>
        <row r="20">
          <cell r="A20" t="str">
            <v>Retail/G</v>
          </cell>
          <cell r="B20" t="str">
            <v>Retail</v>
          </cell>
          <cell r="C20" t="str">
            <v>G</v>
          </cell>
          <cell r="D20">
            <v>34035</v>
          </cell>
          <cell r="E20">
            <v>2795713.66</v>
          </cell>
          <cell r="F20">
            <v>0</v>
          </cell>
          <cell r="G20">
            <v>0</v>
          </cell>
          <cell r="H20">
            <v>2795713.66</v>
          </cell>
          <cell r="I20">
            <v>2797256.1291</v>
          </cell>
          <cell r="J20">
            <v>826751.04313000001</v>
          </cell>
          <cell r="K20">
            <v>38986.699999999997</v>
          </cell>
          <cell r="L20">
            <v>0</v>
          </cell>
          <cell r="M20">
            <v>939364.56131999998</v>
          </cell>
          <cell r="N20">
            <v>865737.74312999996</v>
          </cell>
          <cell r="O20">
            <v>826190.90232999995</v>
          </cell>
          <cell r="P20">
            <v>865177.60233000002</v>
          </cell>
          <cell r="Q20">
            <v>2795631.6891000001</v>
          </cell>
        </row>
        <row r="21">
          <cell r="A21" t="str">
            <v>Specialty/B</v>
          </cell>
          <cell r="B21" t="str">
            <v>Specialty</v>
          </cell>
          <cell r="C21" t="str">
            <v>B</v>
          </cell>
          <cell r="D21">
            <v>193</v>
          </cell>
          <cell r="E21">
            <v>1139821.95</v>
          </cell>
          <cell r="F21">
            <v>0</v>
          </cell>
          <cell r="G21">
            <v>0</v>
          </cell>
          <cell r="H21">
            <v>1139821.95</v>
          </cell>
          <cell r="I21">
            <v>1138932.8513</v>
          </cell>
          <cell r="J21">
            <v>956703.59505999996</v>
          </cell>
          <cell r="K21">
            <v>0</v>
          </cell>
          <cell r="L21">
            <v>0</v>
          </cell>
          <cell r="M21">
            <v>956703.59505999996</v>
          </cell>
          <cell r="N21">
            <v>956703.59505999996</v>
          </cell>
          <cell r="O21">
            <v>936315.15202000004</v>
          </cell>
          <cell r="P21">
            <v>936315.15202000004</v>
          </cell>
          <cell r="Q21">
            <v>1136264.0164999999</v>
          </cell>
        </row>
        <row r="22">
          <cell r="A22" t="str">
            <v>Specialty/G</v>
          </cell>
          <cell r="B22" t="str">
            <v>Specialty</v>
          </cell>
          <cell r="C22" t="str">
            <v>G</v>
          </cell>
          <cell r="D22">
            <v>9</v>
          </cell>
          <cell r="E22">
            <v>17610.54</v>
          </cell>
          <cell r="F22">
            <v>0</v>
          </cell>
          <cell r="G22">
            <v>0</v>
          </cell>
          <cell r="H22">
            <v>17610.54</v>
          </cell>
          <cell r="I22">
            <v>17610.53584</v>
          </cell>
          <cell r="J22">
            <v>14792.850106</v>
          </cell>
          <cell r="K22">
            <v>0</v>
          </cell>
          <cell r="L22">
            <v>0</v>
          </cell>
          <cell r="M22">
            <v>14792.850106</v>
          </cell>
          <cell r="N22">
            <v>14792.850106</v>
          </cell>
          <cell r="O22">
            <v>14792.850106</v>
          </cell>
          <cell r="P22">
            <v>14792.850106</v>
          </cell>
          <cell r="Q22">
            <v>17610.53584</v>
          </cell>
        </row>
        <row r="23">
          <cell r="A23" t="str">
            <v>0/0</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row>
        <row r="24">
          <cell r="A24" t="str">
            <v>0/0</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8 Renewal - Fixed Fees"/>
      <sheetName val="2016 Renewal"/>
      <sheetName val="2014 Renewal - Option"/>
      <sheetName val="2014 - For Council"/>
      <sheetName val="2018 Renewal - Stop Loss"/>
      <sheetName val="Proposal Analysis"/>
      <sheetName val="Pharmacy"/>
      <sheetName val="Benefits"/>
      <sheetName val="Network Disruption"/>
      <sheetName val="Perf Commitments &amp; Penalties"/>
      <sheetName val="Wellness"/>
      <sheetName val="FSA"/>
      <sheetName val="HSA"/>
      <sheetName val="Carrier Allowances"/>
    </sheetNames>
    <sheetDataSet>
      <sheetData sheetId="0">
        <row r="46">
          <cell r="D46">
            <v>191336.68</v>
          </cell>
        </row>
        <row r="47">
          <cell r="F47">
            <v>61286.010000000009</v>
          </cell>
          <cell r="G47">
            <v>61286.010000000009</v>
          </cell>
        </row>
        <row r="53">
          <cell r="I53">
            <v>37061</v>
          </cell>
        </row>
        <row r="55">
          <cell r="D55">
            <v>-25000</v>
          </cell>
          <cell r="E55">
            <v>-20000</v>
          </cell>
          <cell r="F55">
            <v>-93244</v>
          </cell>
          <cell r="I55">
            <v>-110000</v>
          </cell>
        </row>
      </sheetData>
      <sheetData sheetId="1"/>
      <sheetData sheetId="2"/>
      <sheetData sheetId="3"/>
      <sheetData sheetId="4">
        <row r="19">
          <cell r="E19">
            <v>991960.32000000007</v>
          </cell>
          <cell r="K19">
            <v>1120109.04</v>
          </cell>
          <cell r="L19">
            <v>1124108.8799999999</v>
          </cell>
        </row>
        <row r="22">
          <cell r="K22">
            <v>38460</v>
          </cell>
          <cell r="L22">
            <v>12461.04</v>
          </cell>
        </row>
      </sheetData>
      <sheetData sheetId="5"/>
      <sheetData sheetId="6">
        <row r="42">
          <cell r="E42">
            <v>1739132</v>
          </cell>
        </row>
        <row r="44">
          <cell r="E44">
            <v>245710</v>
          </cell>
        </row>
      </sheetData>
      <sheetData sheetId="7"/>
      <sheetData sheetId="8">
        <row r="50">
          <cell r="C50">
            <v>0.52268811889460942</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106"/>
  <sheetViews>
    <sheetView view="pageBreakPreview" zoomScale="115" zoomScaleNormal="150" zoomScaleSheetLayoutView="115" zoomScalePageLayoutView="150" workbookViewId="0">
      <pane xSplit="1" topLeftCell="B1" activePane="topRight" state="frozen"/>
      <selection activeCell="A4" sqref="A4"/>
      <selection pane="topRight" sqref="A1:XFD1"/>
    </sheetView>
  </sheetViews>
  <sheetFormatPr defaultColWidth="8.85546875" defaultRowHeight="12.75" x14ac:dyDescent="0.2"/>
  <cols>
    <col min="1" max="1" width="42.85546875" customWidth="1"/>
    <col min="2" max="2" width="21.42578125" customWidth="1"/>
    <col min="3" max="3" width="19.5703125" customWidth="1"/>
    <col min="4" max="4" width="21" customWidth="1"/>
    <col min="5" max="5" width="19.85546875" customWidth="1"/>
    <col min="6" max="6" width="22.85546875" hidden="1" customWidth="1"/>
    <col min="7" max="7" width="19.7109375" hidden="1" customWidth="1"/>
    <col min="8" max="9" width="24.140625" hidden="1" customWidth="1"/>
    <col min="10" max="10" width="23.42578125" hidden="1" customWidth="1"/>
    <col min="11" max="11" width="21.140625" hidden="1" customWidth="1"/>
    <col min="12" max="12" width="19.85546875" hidden="1" customWidth="1"/>
    <col min="13" max="13" width="7.42578125" hidden="1" customWidth="1"/>
    <col min="14" max="14" width="8.7109375" hidden="1" customWidth="1"/>
    <col min="15" max="15" width="0" hidden="1" customWidth="1"/>
    <col min="16" max="17" width="10.140625" bestFit="1" customWidth="1"/>
  </cols>
  <sheetData>
    <row r="1" spans="1:16" ht="13.5" thickBot="1" x14ac:dyDescent="0.25">
      <c r="A1" s="802" t="s">
        <v>663</v>
      </c>
      <c r="B1" s="461"/>
      <c r="C1" s="801" t="s">
        <v>108</v>
      </c>
      <c r="D1" s="801" t="s">
        <v>108</v>
      </c>
      <c r="E1" s="801" t="s">
        <v>108</v>
      </c>
      <c r="F1" s="801"/>
      <c r="G1" s="801"/>
      <c r="H1" s="801" t="s">
        <v>564</v>
      </c>
      <c r="I1" s="801" t="s">
        <v>564</v>
      </c>
      <c r="J1" s="461">
        <v>42736</v>
      </c>
      <c r="K1" s="461">
        <v>42645</v>
      </c>
      <c r="L1" s="461">
        <v>42644</v>
      </c>
    </row>
    <row r="2" spans="1:16" ht="12.75" customHeight="1" x14ac:dyDescent="0.2">
      <c r="A2" s="796" t="s">
        <v>0</v>
      </c>
      <c r="B2" s="797" t="s">
        <v>49</v>
      </c>
      <c r="C2" s="797" t="s">
        <v>49</v>
      </c>
      <c r="D2" s="797" t="s">
        <v>74</v>
      </c>
      <c r="E2" s="1173" t="s">
        <v>598</v>
      </c>
      <c r="F2" s="797" t="s">
        <v>91</v>
      </c>
      <c r="G2" s="798" t="s">
        <v>87</v>
      </c>
      <c r="H2" s="874" t="s">
        <v>49</v>
      </c>
      <c r="I2" s="859" t="s">
        <v>49</v>
      </c>
      <c r="J2" s="178" t="s">
        <v>543</v>
      </c>
      <c r="K2" s="141" t="s">
        <v>532</v>
      </c>
      <c r="L2" s="534" t="s">
        <v>531</v>
      </c>
    </row>
    <row r="3" spans="1:16" ht="12.75" customHeight="1" x14ac:dyDescent="0.2">
      <c r="A3" s="800" t="s">
        <v>86</v>
      </c>
      <c r="B3" s="1016" t="s">
        <v>49</v>
      </c>
      <c r="C3" s="1016" t="s">
        <v>49</v>
      </c>
      <c r="D3" s="1016" t="s">
        <v>74</v>
      </c>
      <c r="E3" s="1174" t="s">
        <v>74</v>
      </c>
      <c r="F3" s="1016" t="s">
        <v>91</v>
      </c>
      <c r="G3" s="985" t="s">
        <v>87</v>
      </c>
      <c r="H3" s="895" t="s">
        <v>647</v>
      </c>
      <c r="I3" s="1063" t="s">
        <v>636</v>
      </c>
      <c r="J3" s="179"/>
      <c r="K3" s="143" t="s">
        <v>176</v>
      </c>
      <c r="L3" s="627" t="s">
        <v>465</v>
      </c>
    </row>
    <row r="4" spans="1:16" x14ac:dyDescent="0.2">
      <c r="A4" s="800" t="s">
        <v>1</v>
      </c>
      <c r="B4" s="1016" t="s">
        <v>49</v>
      </c>
      <c r="C4" s="1016" t="s">
        <v>49</v>
      </c>
      <c r="D4" s="1016" t="s">
        <v>74</v>
      </c>
      <c r="E4" s="1174" t="s">
        <v>74</v>
      </c>
      <c r="F4" s="1016" t="s">
        <v>91</v>
      </c>
      <c r="G4" s="985" t="s">
        <v>87</v>
      </c>
      <c r="H4" s="875" t="s">
        <v>49</v>
      </c>
      <c r="I4" s="1064" t="s">
        <v>49</v>
      </c>
      <c r="J4" s="179" t="s">
        <v>115</v>
      </c>
      <c r="K4" s="143" t="s">
        <v>533</v>
      </c>
      <c r="L4" s="627" t="s">
        <v>91</v>
      </c>
    </row>
    <row r="5" spans="1:16" ht="13.5" thickBot="1" x14ac:dyDescent="0.25">
      <c r="A5" s="800" t="s">
        <v>73</v>
      </c>
      <c r="B5" s="1016" t="s">
        <v>49</v>
      </c>
      <c r="C5" s="1016" t="s">
        <v>49</v>
      </c>
      <c r="D5" s="1016" t="s">
        <v>74</v>
      </c>
      <c r="E5" s="1174" t="s">
        <v>611</v>
      </c>
      <c r="F5" s="1016" t="s">
        <v>91</v>
      </c>
      <c r="G5" s="985" t="s">
        <v>87</v>
      </c>
      <c r="H5" s="875" t="s">
        <v>49</v>
      </c>
      <c r="I5" s="1064" t="s">
        <v>49</v>
      </c>
      <c r="J5" s="179" t="s">
        <v>91</v>
      </c>
      <c r="K5" s="143" t="s">
        <v>175</v>
      </c>
      <c r="L5" s="627" t="s">
        <v>449</v>
      </c>
    </row>
    <row r="6" spans="1:16" ht="14.25" hidden="1" thickTop="1" thickBot="1" x14ac:dyDescent="0.25">
      <c r="A6" s="843" t="s">
        <v>640</v>
      </c>
      <c r="B6" s="1017"/>
      <c r="C6" s="1017"/>
      <c r="D6" s="1107"/>
      <c r="E6" s="1221"/>
      <c r="F6" s="1107"/>
      <c r="G6" s="1098"/>
      <c r="H6" s="896"/>
      <c r="I6" s="1065"/>
      <c r="J6" s="660"/>
      <c r="K6" s="159"/>
      <c r="L6" s="641"/>
    </row>
    <row r="7" spans="1:16" ht="13.5" hidden="1" thickBot="1" x14ac:dyDescent="0.25">
      <c r="A7" s="750" t="s">
        <v>2</v>
      </c>
      <c r="B7" s="1018">
        <v>125000</v>
      </c>
      <c r="C7" s="1108">
        <v>125000</v>
      </c>
      <c r="D7" s="1108">
        <v>125000</v>
      </c>
      <c r="E7" s="1175">
        <v>125000</v>
      </c>
      <c r="F7" s="1108">
        <v>125000</v>
      </c>
      <c r="G7" s="1055">
        <v>125000</v>
      </c>
      <c r="H7" s="876">
        <v>125000</v>
      </c>
      <c r="I7" s="1066">
        <v>125000</v>
      </c>
      <c r="J7" s="309">
        <v>225000</v>
      </c>
      <c r="K7" s="227">
        <v>125000</v>
      </c>
      <c r="L7" s="628">
        <v>225000</v>
      </c>
    </row>
    <row r="8" spans="1:16" ht="13.5" hidden="1" thickBot="1" x14ac:dyDescent="0.25">
      <c r="A8" s="750" t="s">
        <v>3</v>
      </c>
      <c r="B8" s="1019" t="s">
        <v>573</v>
      </c>
      <c r="C8" s="1019" t="s">
        <v>573</v>
      </c>
      <c r="D8" s="1019" t="s">
        <v>99</v>
      </c>
      <c r="E8" s="1176" t="s">
        <v>99</v>
      </c>
      <c r="F8" s="1019" t="s">
        <v>99</v>
      </c>
      <c r="G8" s="986" t="s">
        <v>99</v>
      </c>
      <c r="H8" s="833" t="s">
        <v>629</v>
      </c>
      <c r="I8" s="832" t="s">
        <v>99</v>
      </c>
      <c r="J8" s="180" t="s">
        <v>99</v>
      </c>
      <c r="K8" s="145" t="s">
        <v>99</v>
      </c>
      <c r="L8" s="629" t="s">
        <v>99</v>
      </c>
    </row>
    <row r="9" spans="1:16" ht="13.5" hidden="1" thickBot="1" x14ac:dyDescent="0.25">
      <c r="A9" s="750" t="s">
        <v>80</v>
      </c>
      <c r="B9" s="1020" t="s">
        <v>77</v>
      </c>
      <c r="C9" s="1020" t="s">
        <v>77</v>
      </c>
      <c r="D9" s="1020" t="s">
        <v>77</v>
      </c>
      <c r="E9" s="1177" t="s">
        <v>77</v>
      </c>
      <c r="F9" s="1020" t="s">
        <v>77</v>
      </c>
      <c r="G9" s="987" t="s">
        <v>77</v>
      </c>
      <c r="H9" s="878" t="s">
        <v>77</v>
      </c>
      <c r="I9" s="877" t="s">
        <v>77</v>
      </c>
      <c r="J9" s="181" t="s">
        <v>77</v>
      </c>
      <c r="K9" s="146" t="s">
        <v>77</v>
      </c>
      <c r="L9" s="630" t="s">
        <v>77</v>
      </c>
    </row>
    <row r="10" spans="1:16" ht="13.5" hidden="1" thickBot="1" x14ac:dyDescent="0.25">
      <c r="A10" s="750" t="s">
        <v>4</v>
      </c>
      <c r="B10" s="1019" t="s">
        <v>573</v>
      </c>
      <c r="C10" s="1019" t="s">
        <v>573</v>
      </c>
      <c r="D10" s="1019" t="s">
        <v>99</v>
      </c>
      <c r="E10" s="1176" t="s">
        <v>99</v>
      </c>
      <c r="F10" s="1019" t="s">
        <v>99</v>
      </c>
      <c r="G10" s="986" t="s">
        <v>99</v>
      </c>
      <c r="H10" s="833" t="s">
        <v>99</v>
      </c>
      <c r="I10" s="832" t="s">
        <v>99</v>
      </c>
      <c r="J10" s="180" t="s">
        <v>99</v>
      </c>
      <c r="K10" s="145" t="s">
        <v>99</v>
      </c>
      <c r="L10" s="629" t="s">
        <v>99</v>
      </c>
    </row>
    <row r="11" spans="1:16" ht="13.5" hidden="1" thickBot="1" x14ac:dyDescent="0.25">
      <c r="A11" s="750" t="s">
        <v>81</v>
      </c>
      <c r="B11" s="1020">
        <v>1000000</v>
      </c>
      <c r="C11" s="1020">
        <v>1000000</v>
      </c>
      <c r="D11" s="1020">
        <v>1000000</v>
      </c>
      <c r="E11" s="1177">
        <v>1000000</v>
      </c>
      <c r="F11" s="1020">
        <v>1000000</v>
      </c>
      <c r="G11" s="987">
        <v>1000000</v>
      </c>
      <c r="H11" s="878">
        <v>1000000</v>
      </c>
      <c r="I11" s="877">
        <v>1000000</v>
      </c>
      <c r="J11" s="181" t="s">
        <v>77</v>
      </c>
      <c r="K11" s="146" t="s">
        <v>77</v>
      </c>
      <c r="L11" s="630" t="s">
        <v>77</v>
      </c>
    </row>
    <row r="12" spans="1:16" ht="13.5" hidden="1" thickBot="1" x14ac:dyDescent="0.25">
      <c r="A12" s="750" t="s">
        <v>572</v>
      </c>
      <c r="B12" s="1021">
        <v>1.25</v>
      </c>
      <c r="C12" s="1021">
        <v>1.25</v>
      </c>
      <c r="D12" s="1021">
        <v>1.2</v>
      </c>
      <c r="E12" s="1178">
        <v>1.25</v>
      </c>
      <c r="F12" s="1021">
        <v>1.25</v>
      </c>
      <c r="G12" s="988">
        <v>1.25</v>
      </c>
      <c r="H12" s="879">
        <v>1.25</v>
      </c>
      <c r="I12" s="1067">
        <v>1.25</v>
      </c>
      <c r="J12" s="181"/>
      <c r="K12" s="146"/>
      <c r="L12" s="630"/>
    </row>
    <row r="13" spans="1:16" ht="13.5" hidden="1" thickBot="1" x14ac:dyDescent="0.25">
      <c r="A13" s="750"/>
      <c r="B13" s="1019"/>
      <c r="C13" s="1019"/>
      <c r="D13" s="1019"/>
      <c r="E13" s="1176"/>
      <c r="F13" s="1019"/>
      <c r="G13" s="986"/>
      <c r="H13" s="833"/>
      <c r="I13" s="832"/>
      <c r="J13" s="180"/>
      <c r="K13" s="145"/>
      <c r="L13" s="629"/>
    </row>
    <row r="14" spans="1:16" ht="13.5" hidden="1" thickBot="1" x14ac:dyDescent="0.25">
      <c r="A14" s="750" t="s">
        <v>103</v>
      </c>
      <c r="B14" s="1022">
        <v>128.96</v>
      </c>
      <c r="C14" s="1022">
        <v>137.46</v>
      </c>
      <c r="D14" s="1022">
        <f>E14</f>
        <v>176.05</v>
      </c>
      <c r="E14" s="1222">
        <v>176.05</v>
      </c>
      <c r="F14" s="1022">
        <v>145.62</v>
      </c>
      <c r="G14" s="1099">
        <v>146.13999999999999</v>
      </c>
      <c r="H14" s="770">
        <v>123.27</v>
      </c>
      <c r="I14" s="1068">
        <v>105.67</v>
      </c>
      <c r="J14" s="182">
        <f>D14</f>
        <v>176.05</v>
      </c>
      <c r="K14" s="148">
        <v>0</v>
      </c>
      <c r="L14" s="631">
        <v>41.58</v>
      </c>
      <c r="P14" s="460">
        <f>(B14-C14)/-B14</f>
        <v>6.5911910669975177E-2</v>
      </c>
    </row>
    <row r="15" spans="1:16" ht="13.5" hidden="1" thickBot="1" x14ac:dyDescent="0.25">
      <c r="A15" s="753" t="s">
        <v>118</v>
      </c>
      <c r="B15" s="1022">
        <v>0</v>
      </c>
      <c r="C15" s="1022">
        <v>0</v>
      </c>
      <c r="D15" s="1022">
        <f>C15</f>
        <v>0</v>
      </c>
      <c r="E15" s="1222">
        <v>0</v>
      </c>
      <c r="F15" s="1022">
        <v>119.27</v>
      </c>
      <c r="G15" s="1099">
        <v>119.27</v>
      </c>
      <c r="H15" s="770">
        <f>I15</f>
        <v>0</v>
      </c>
      <c r="I15" s="1068">
        <f>C15</f>
        <v>0</v>
      </c>
      <c r="J15" s="182">
        <f>D15</f>
        <v>0</v>
      </c>
      <c r="K15" s="148">
        <v>0</v>
      </c>
      <c r="L15" s="631">
        <v>127.19</v>
      </c>
    </row>
    <row r="16" spans="1:16" ht="13.5" hidden="1" thickBot="1" x14ac:dyDescent="0.25">
      <c r="A16" s="753"/>
      <c r="B16" s="1023"/>
      <c r="C16" s="1023"/>
      <c r="D16" s="1023"/>
      <c r="E16" s="1223"/>
      <c r="F16" s="1023"/>
      <c r="G16" s="1100"/>
      <c r="H16" s="751"/>
      <c r="I16" s="750"/>
      <c r="J16" s="183"/>
      <c r="K16" s="149"/>
      <c r="L16" s="632"/>
    </row>
    <row r="17" spans="1:17" ht="13.5" hidden="1" thickBot="1" x14ac:dyDescent="0.25">
      <c r="A17" s="750" t="s">
        <v>5</v>
      </c>
      <c r="B17" s="1024">
        <f>+(B14*$B$69)+(B15*$B$71)</f>
        <v>82663.360000000001</v>
      </c>
      <c r="C17" s="1024">
        <f>+(C14*$B$69)+(C15*$B$71)</f>
        <v>88111.86</v>
      </c>
      <c r="D17" s="1024">
        <f>+(D14*$B$69)+(D15*$B$71)</f>
        <v>112848.05</v>
      </c>
      <c r="E17" s="1179">
        <f>+(E14*$B$69)</f>
        <v>112848.05</v>
      </c>
      <c r="F17" s="1024">
        <f>+(F14*B69)</f>
        <v>93342.42</v>
      </c>
      <c r="G17" s="989">
        <f>+(G14*B69)</f>
        <v>93675.739999999991</v>
      </c>
      <c r="H17" s="755">
        <f>+(H14*$B$69)+(H15*$B$71)</f>
        <v>79016.069999999992</v>
      </c>
      <c r="I17" s="1069">
        <f>+(I14*$B$69)+(I15*$B$71)</f>
        <v>67734.47</v>
      </c>
      <c r="J17" s="334">
        <f>+(J14*$B$70)+(J15*$B$71)</f>
        <v>40491.5</v>
      </c>
      <c r="K17" s="150">
        <f>+(K14*$B$69)</f>
        <v>0</v>
      </c>
      <c r="L17" s="317">
        <f>+(L14*$B$70)+(L15*$B$71)</f>
        <v>30676.940000000002</v>
      </c>
    </row>
    <row r="18" spans="1:17" ht="13.5" hidden="1" thickBot="1" x14ac:dyDescent="0.25">
      <c r="A18" s="756" t="s">
        <v>6</v>
      </c>
      <c r="B18" s="1025">
        <f t="shared" ref="B18:C18" si="0">+B17*12</f>
        <v>991960.32000000007</v>
      </c>
      <c r="C18" s="1025">
        <f t="shared" si="0"/>
        <v>1057342.32</v>
      </c>
      <c r="D18" s="1025">
        <f>+D17*12</f>
        <v>1354176.6</v>
      </c>
      <c r="E18" s="1224">
        <f t="shared" ref="E18" si="1">+E17*12</f>
        <v>1354176.6</v>
      </c>
      <c r="F18" s="1025">
        <f>+F17*12</f>
        <v>1120109.04</v>
      </c>
      <c r="G18" s="1101">
        <f>+G17*12</f>
        <v>1124108.8799999999</v>
      </c>
      <c r="H18" s="897">
        <f>+H17*12</f>
        <v>948192.83999999985</v>
      </c>
      <c r="I18" s="1070">
        <f>+I17*12</f>
        <v>812813.64</v>
      </c>
      <c r="J18" s="185">
        <f t="shared" ref="J18" si="2">+J17*12</f>
        <v>485898</v>
      </c>
      <c r="K18" s="152">
        <f>+K17*12</f>
        <v>0</v>
      </c>
      <c r="L18" s="633">
        <f t="shared" ref="L18" si="3">+L17*12</f>
        <v>368123.28</v>
      </c>
    </row>
    <row r="19" spans="1:17" ht="13.5" hidden="1" thickBot="1" x14ac:dyDescent="0.25">
      <c r="A19" s="750" t="s">
        <v>7</v>
      </c>
      <c r="B19" s="1026">
        <v>4.95</v>
      </c>
      <c r="C19" s="1026">
        <v>5.35</v>
      </c>
      <c r="D19" s="1026">
        <v>12.99</v>
      </c>
      <c r="E19" s="1184">
        <f>D19</f>
        <v>12.99</v>
      </c>
      <c r="F19" s="1026">
        <v>3.75</v>
      </c>
      <c r="G19" s="994">
        <v>1.62</v>
      </c>
      <c r="H19" s="880">
        <v>2.69</v>
      </c>
      <c r="I19" s="1071">
        <v>5.35</v>
      </c>
      <c r="J19" s="189" t="s">
        <v>41</v>
      </c>
      <c r="K19" s="160" t="s">
        <v>41</v>
      </c>
      <c r="L19" s="634">
        <v>3.3</v>
      </c>
    </row>
    <row r="20" spans="1:17" ht="13.5" hidden="1" thickBot="1" x14ac:dyDescent="0.25">
      <c r="A20" s="750" t="s">
        <v>5</v>
      </c>
      <c r="B20" s="1024">
        <f t="shared" ref="B20:G20" si="4">B19*$B$69</f>
        <v>3172.9500000000003</v>
      </c>
      <c r="C20" s="1024">
        <f t="shared" si="4"/>
        <v>3429.35</v>
      </c>
      <c r="D20" s="1024">
        <f>D19*$B$69</f>
        <v>8326.59</v>
      </c>
      <c r="E20" s="1179">
        <f t="shared" si="4"/>
        <v>8326.59</v>
      </c>
      <c r="F20" s="1024">
        <f t="shared" si="4"/>
        <v>2403.75</v>
      </c>
      <c r="G20" s="989">
        <f t="shared" si="4"/>
        <v>1038.42</v>
      </c>
      <c r="H20" s="755">
        <f>H19*$B$69</f>
        <v>1724.29</v>
      </c>
      <c r="I20" s="1069">
        <f>I19*$B$69</f>
        <v>3429.35</v>
      </c>
      <c r="J20" s="184">
        <v>0</v>
      </c>
      <c r="K20" s="150">
        <v>0</v>
      </c>
      <c r="L20" s="317">
        <f>L19*$B$69</f>
        <v>2115.2999999999997</v>
      </c>
    </row>
    <row r="21" spans="1:17" ht="13.5" hidden="1" thickBot="1" x14ac:dyDescent="0.25">
      <c r="A21" s="756" t="s">
        <v>6</v>
      </c>
      <c r="B21" s="1025">
        <f t="shared" ref="B21:C21" si="5">+B20*12</f>
        <v>38075.4</v>
      </c>
      <c r="C21" s="1025">
        <f t="shared" si="5"/>
        <v>41152.199999999997</v>
      </c>
      <c r="D21" s="1025">
        <f>+D20*12</f>
        <v>99919.08</v>
      </c>
      <c r="E21" s="1224">
        <f t="shared" ref="E21" si="6">+E20*12</f>
        <v>99919.08</v>
      </c>
      <c r="F21" s="1025">
        <f>+F20*12</f>
        <v>28845</v>
      </c>
      <c r="G21" s="1101">
        <f>+G20*12</f>
        <v>12461.04</v>
      </c>
      <c r="H21" s="897">
        <f>+H20*12</f>
        <v>20691.48</v>
      </c>
      <c r="I21" s="1070">
        <f>+I20*12</f>
        <v>41152.199999999997</v>
      </c>
      <c r="J21" s="185">
        <f t="shared" ref="J21" si="7">+J20*12</f>
        <v>0</v>
      </c>
      <c r="K21" s="152">
        <f>+K20*12</f>
        <v>0</v>
      </c>
      <c r="L21" s="633">
        <f t="shared" ref="L21" si="8">+L20*12</f>
        <v>25383.599999999999</v>
      </c>
    </row>
    <row r="22" spans="1:17" ht="13.5" hidden="1" thickBot="1" x14ac:dyDescent="0.25">
      <c r="A22" s="750" t="s">
        <v>114</v>
      </c>
      <c r="B22" s="1027" t="s">
        <v>34</v>
      </c>
      <c r="C22" s="1027" t="s">
        <v>34</v>
      </c>
      <c r="D22" s="1027" t="s">
        <v>34</v>
      </c>
      <c r="E22" s="1225" t="s">
        <v>34</v>
      </c>
      <c r="F22" s="1027" t="s">
        <v>34</v>
      </c>
      <c r="G22" s="1102" t="s">
        <v>34</v>
      </c>
      <c r="H22" s="898" t="s">
        <v>34</v>
      </c>
      <c r="I22" s="1072" t="s">
        <v>34</v>
      </c>
      <c r="J22" s="310" t="s">
        <v>34</v>
      </c>
      <c r="K22" s="225" t="s">
        <v>34</v>
      </c>
      <c r="L22" s="635" t="s">
        <v>34</v>
      </c>
    </row>
    <row r="23" spans="1:17" ht="14.25" hidden="1" thickTop="1" thickBot="1" x14ac:dyDescent="0.25">
      <c r="A23" s="757" t="s">
        <v>8</v>
      </c>
      <c r="B23" s="1028"/>
      <c r="C23" s="1028"/>
      <c r="D23" s="1028"/>
      <c r="E23" s="1180"/>
      <c r="F23" s="1028"/>
      <c r="G23" s="990"/>
      <c r="H23" s="758"/>
      <c r="I23" s="757"/>
      <c r="J23" s="186"/>
      <c r="K23" s="154"/>
      <c r="L23" s="636"/>
    </row>
    <row r="24" spans="1:17" ht="13.5" hidden="1" thickBot="1" x14ac:dyDescent="0.25">
      <c r="A24" s="759" t="s">
        <v>9</v>
      </c>
      <c r="B24" s="1029">
        <v>1386.77</v>
      </c>
      <c r="C24" s="1030">
        <v>1592.01</v>
      </c>
      <c r="D24" s="1030">
        <f>E24</f>
        <v>1527.85</v>
      </c>
      <c r="E24" s="1181">
        <v>1527.85</v>
      </c>
      <c r="F24" s="1030">
        <v>1547.81</v>
      </c>
      <c r="G24" s="991">
        <v>1444.03</v>
      </c>
      <c r="H24" s="881">
        <v>1434.41</v>
      </c>
      <c r="I24" s="1073">
        <v>1555.45</v>
      </c>
      <c r="J24" s="659">
        <v>0</v>
      </c>
      <c r="K24" s="156">
        <v>0</v>
      </c>
      <c r="L24" s="637">
        <v>1270.71</v>
      </c>
      <c r="N24" s="36">
        <f>C24/1.25</f>
        <v>1273.6079999999999</v>
      </c>
      <c r="P24" s="36">
        <f>B24-C24</f>
        <v>-205.24</v>
      </c>
    </row>
    <row r="25" spans="1:17" ht="13.5" hidden="1" thickBot="1" x14ac:dyDescent="0.25">
      <c r="A25" s="759" t="s">
        <v>10</v>
      </c>
      <c r="B25" s="1030">
        <v>0</v>
      </c>
      <c r="C25" s="1030">
        <v>0</v>
      </c>
      <c r="D25" s="1030">
        <v>0</v>
      </c>
      <c r="E25" s="1181">
        <v>0</v>
      </c>
      <c r="F25" s="1030">
        <v>0</v>
      </c>
      <c r="G25" s="991">
        <v>0</v>
      </c>
      <c r="H25" s="881">
        <v>0</v>
      </c>
      <c r="I25" s="1073">
        <v>0</v>
      </c>
      <c r="J25" s="187">
        <v>0</v>
      </c>
      <c r="K25" s="156">
        <v>0</v>
      </c>
      <c r="L25" s="638">
        <v>0</v>
      </c>
      <c r="P25">
        <f>P24/B24</f>
        <v>-0.14799858664378376</v>
      </c>
    </row>
    <row r="26" spans="1:17" ht="13.5" hidden="1" thickBot="1" x14ac:dyDescent="0.25">
      <c r="A26" s="759" t="s">
        <v>11</v>
      </c>
      <c r="B26" s="1030">
        <f>B24*B69</f>
        <v>888919.57</v>
      </c>
      <c r="C26" s="1031">
        <f t="shared" ref="C26:L26" si="9">+(C24*$B$69)</f>
        <v>1020478.41</v>
      </c>
      <c r="D26" s="1031">
        <f>+(D24*$B$69)</f>
        <v>979351.85</v>
      </c>
      <c r="E26" s="1182">
        <f t="shared" si="9"/>
        <v>979351.85</v>
      </c>
      <c r="F26" s="1031">
        <f t="shared" si="9"/>
        <v>992146.21</v>
      </c>
      <c r="G26" s="993">
        <f t="shared" si="9"/>
        <v>925623.23</v>
      </c>
      <c r="H26" s="748">
        <f>+(H24*$B$69)</f>
        <v>919456.81</v>
      </c>
      <c r="I26" s="1074">
        <f>+(I24*$B$69)</f>
        <v>997043.45000000007</v>
      </c>
      <c r="J26" s="172">
        <f t="shared" si="9"/>
        <v>0</v>
      </c>
      <c r="K26" s="157">
        <f t="shared" si="9"/>
        <v>0</v>
      </c>
      <c r="L26" s="639">
        <f t="shared" si="9"/>
        <v>814525.11</v>
      </c>
    </row>
    <row r="27" spans="1:17" ht="13.5" hidden="1" thickBot="1" x14ac:dyDescent="0.25">
      <c r="A27" s="760" t="s">
        <v>12</v>
      </c>
      <c r="B27" s="746">
        <f>B26*12</f>
        <v>10667034.84</v>
      </c>
      <c r="C27" s="746">
        <f>+C26*12</f>
        <v>12245740.92</v>
      </c>
      <c r="D27" s="746">
        <f>+D26*12</f>
        <v>11752222.199999999</v>
      </c>
      <c r="E27" s="1183">
        <f t="shared" ref="E27" si="10">+E26*12</f>
        <v>11752222.199999999</v>
      </c>
      <c r="F27" s="746">
        <f t="shared" ref="F27:L27" si="11">+F26*12</f>
        <v>11905754.52</v>
      </c>
      <c r="G27" s="992">
        <f t="shared" si="11"/>
        <v>11107478.76</v>
      </c>
      <c r="H27" s="882">
        <f>+H26*12</f>
        <v>11033481.720000001</v>
      </c>
      <c r="I27" s="1075">
        <f>+I26*12</f>
        <v>11964521.4</v>
      </c>
      <c r="J27" s="311">
        <f t="shared" si="11"/>
        <v>0</v>
      </c>
      <c r="K27" s="224">
        <f t="shared" si="11"/>
        <v>0</v>
      </c>
      <c r="L27" s="640">
        <f t="shared" si="11"/>
        <v>9774301.3200000003</v>
      </c>
    </row>
    <row r="28" spans="1:17" ht="13.5" hidden="1" thickBot="1" x14ac:dyDescent="0.25">
      <c r="A28" s="761" t="s">
        <v>448</v>
      </c>
      <c r="B28" s="1031">
        <f>B27/1.25</f>
        <v>8533627.8719999995</v>
      </c>
      <c r="C28" s="1031">
        <f>C27/1.25</f>
        <v>9796592.7359999996</v>
      </c>
      <c r="D28" s="1031">
        <f>D27/1.25</f>
        <v>9401777.7599999998</v>
      </c>
      <c r="E28" s="1182">
        <f t="shared" ref="E28" si="12">E27/1.25</f>
        <v>9401777.7599999998</v>
      </c>
      <c r="F28" s="1031">
        <f t="shared" ref="F28:L28" si="13">F27/1.25</f>
        <v>9524603.6160000004</v>
      </c>
      <c r="G28" s="993">
        <f t="shared" si="13"/>
        <v>8885983.0079999994</v>
      </c>
      <c r="H28" s="748">
        <f>H27/1.25</f>
        <v>8826785.3760000002</v>
      </c>
      <c r="I28" s="1074">
        <f>I27/1.25</f>
        <v>9571617.120000001</v>
      </c>
      <c r="J28" s="172">
        <f t="shared" si="13"/>
        <v>0</v>
      </c>
      <c r="K28" s="157">
        <f t="shared" si="13"/>
        <v>0</v>
      </c>
      <c r="L28" s="639">
        <f t="shared" si="13"/>
        <v>7819441.0559999999</v>
      </c>
      <c r="M28" s="36">
        <f>32.48+K14</f>
        <v>32.479999999999997</v>
      </c>
      <c r="N28" s="36">
        <f>36.35+K14</f>
        <v>36.35</v>
      </c>
    </row>
    <row r="29" spans="1:17" ht="13.5" hidden="1" thickBot="1" x14ac:dyDescent="0.25">
      <c r="A29" s="761" t="s">
        <v>117</v>
      </c>
      <c r="B29" s="1032" t="s">
        <v>34</v>
      </c>
      <c r="C29" s="1031">
        <v>9064280</v>
      </c>
      <c r="D29" s="1031">
        <f>E29</f>
        <v>9064280</v>
      </c>
      <c r="E29" s="1182">
        <f>I29</f>
        <v>9064280</v>
      </c>
      <c r="F29" s="1031">
        <f>D29</f>
        <v>9064280</v>
      </c>
      <c r="G29" s="993">
        <f>F29</f>
        <v>9064280</v>
      </c>
      <c r="H29" s="748">
        <f>I29</f>
        <v>9064280</v>
      </c>
      <c r="I29" s="1074">
        <f>C29</f>
        <v>9064280</v>
      </c>
      <c r="J29" s="172">
        <v>4908989</v>
      </c>
      <c r="K29" s="157">
        <v>4908989</v>
      </c>
      <c r="L29" s="639">
        <v>4908989</v>
      </c>
      <c r="M29" s="36"/>
      <c r="N29" s="36"/>
    </row>
    <row r="30" spans="1:17" ht="14.25" thickTop="1" thickBot="1" x14ac:dyDescent="0.25">
      <c r="A30" s="843" t="s">
        <v>641</v>
      </c>
      <c r="B30" s="1017"/>
      <c r="C30" s="1017"/>
      <c r="D30" s="1107"/>
      <c r="E30" s="1221"/>
      <c r="F30" s="1107"/>
      <c r="G30" s="1098"/>
      <c r="H30" s="896"/>
      <c r="I30" s="1065"/>
      <c r="J30" s="660"/>
      <c r="K30" s="159"/>
      <c r="L30" s="641"/>
    </row>
    <row r="31" spans="1:17" s="80" customFormat="1" ht="13.5" thickTop="1" x14ac:dyDescent="0.2">
      <c r="A31" s="750" t="s">
        <v>470</v>
      </c>
      <c r="B31" s="1026">
        <v>31.87</v>
      </c>
      <c r="C31" s="1026">
        <v>22.89</v>
      </c>
      <c r="D31" s="1026">
        <v>23.84</v>
      </c>
      <c r="E31" s="1184">
        <f>18.45</f>
        <v>18.45</v>
      </c>
      <c r="F31" s="1026">
        <v>33.25</v>
      </c>
      <c r="G31" s="994">
        <f>54.73-23.94+2.57+3</f>
        <v>36.359999999999992</v>
      </c>
      <c r="H31" s="880">
        <v>22.89</v>
      </c>
      <c r="I31" s="1071">
        <v>22.89</v>
      </c>
      <c r="J31" s="289">
        <v>13.4</v>
      </c>
      <c r="K31" s="237">
        <v>36.65</v>
      </c>
      <c r="L31" s="642">
        <v>10</v>
      </c>
      <c r="P31" s="1411">
        <f>E31+E33</f>
        <v>35.4</v>
      </c>
      <c r="Q31" s="1411">
        <f>P31*B69</f>
        <v>22691.399999999998</v>
      </c>
    </row>
    <row r="32" spans="1:17" s="80" customFormat="1" x14ac:dyDescent="0.2">
      <c r="A32" s="750" t="s">
        <v>471</v>
      </c>
      <c r="B32" s="1026" t="s">
        <v>41</v>
      </c>
      <c r="C32" s="1026" t="s">
        <v>41</v>
      </c>
      <c r="D32" s="1026" t="s">
        <v>172</v>
      </c>
      <c r="E32" s="1184" t="s">
        <v>172</v>
      </c>
      <c r="F32" s="1026" t="s">
        <v>41</v>
      </c>
      <c r="G32" s="994" t="s">
        <v>41</v>
      </c>
      <c r="H32" s="880" t="s">
        <v>41</v>
      </c>
      <c r="I32" s="1071" t="s">
        <v>41</v>
      </c>
      <c r="J32" s="289" t="s">
        <v>41</v>
      </c>
      <c r="K32" s="642">
        <f>((24567*3)/12)/B69</f>
        <v>9.5815132605304214</v>
      </c>
      <c r="L32" s="642">
        <v>1</v>
      </c>
    </row>
    <row r="33" spans="1:16" x14ac:dyDescent="0.2">
      <c r="A33" s="750" t="s">
        <v>469</v>
      </c>
      <c r="B33" s="1026" t="s">
        <v>41</v>
      </c>
      <c r="C33" s="1026" t="s">
        <v>41</v>
      </c>
      <c r="D33" s="1026" t="s">
        <v>41</v>
      </c>
      <c r="E33" s="1184">
        <v>16.95</v>
      </c>
      <c r="F33" s="1026" t="s">
        <v>41</v>
      </c>
      <c r="G33" s="994">
        <v>12.5</v>
      </c>
      <c r="H33" s="880" t="s">
        <v>41</v>
      </c>
      <c r="I33" s="1071" t="s">
        <v>41</v>
      </c>
      <c r="J33" s="289">
        <v>13.79</v>
      </c>
      <c r="K33" s="237">
        <v>4.25</v>
      </c>
      <c r="L33" s="642">
        <v>14</v>
      </c>
    </row>
    <row r="34" spans="1:16" x14ac:dyDescent="0.2">
      <c r="A34" s="750" t="s">
        <v>668</v>
      </c>
      <c r="B34" s="1026" t="s">
        <v>41</v>
      </c>
      <c r="C34" s="1026" t="str">
        <f t="shared" ref="C34:C38" si="14">B34</f>
        <v>included</v>
      </c>
      <c r="D34" s="1026" t="s">
        <v>41</v>
      </c>
      <c r="E34" s="1226">
        <f>-(136690/B69)/12</f>
        <v>-17.770410816432658</v>
      </c>
      <c r="F34" s="1109">
        <v>-30</v>
      </c>
      <c r="G34" s="994" t="s">
        <v>41</v>
      </c>
      <c r="H34" s="880" t="str">
        <f>I34</f>
        <v>included</v>
      </c>
      <c r="I34" s="1071" t="str">
        <f>C34</f>
        <v>included</v>
      </c>
      <c r="J34" s="289">
        <v>0</v>
      </c>
      <c r="K34" s="237">
        <v>0</v>
      </c>
      <c r="L34" s="642">
        <v>0</v>
      </c>
    </row>
    <row r="35" spans="1:16" x14ac:dyDescent="0.2">
      <c r="A35" s="750" t="s">
        <v>83</v>
      </c>
      <c r="B35" s="1026" t="s">
        <v>41</v>
      </c>
      <c r="C35" s="1026" t="s">
        <v>41</v>
      </c>
      <c r="D35" s="1026" t="s">
        <v>41</v>
      </c>
      <c r="E35" s="1184">
        <f>1+1.78</f>
        <v>2.7800000000000002</v>
      </c>
      <c r="F35" s="1026" t="s">
        <v>41</v>
      </c>
      <c r="G35" s="994" t="s">
        <v>41</v>
      </c>
      <c r="H35" s="880" t="s">
        <v>41</v>
      </c>
      <c r="I35" s="1071" t="s">
        <v>41</v>
      </c>
      <c r="J35" s="189">
        <f>2.1+1</f>
        <v>3.1</v>
      </c>
      <c r="K35" s="237" t="s">
        <v>41</v>
      </c>
      <c r="L35" s="634">
        <v>3.5</v>
      </c>
    </row>
    <row r="36" spans="1:16" x14ac:dyDescent="0.2">
      <c r="A36" s="750" t="s">
        <v>42</v>
      </c>
      <c r="B36" s="1026" t="s">
        <v>385</v>
      </c>
      <c r="C36" s="1026" t="s">
        <v>41</v>
      </c>
      <c r="D36" s="1026" t="s">
        <v>41</v>
      </c>
      <c r="E36" s="1184" t="s">
        <v>385</v>
      </c>
      <c r="F36" s="1026" t="s">
        <v>41</v>
      </c>
      <c r="G36" s="994" t="s">
        <v>385</v>
      </c>
      <c r="H36" s="880" t="s">
        <v>385</v>
      </c>
      <c r="I36" s="1071" t="s">
        <v>41</v>
      </c>
      <c r="J36" s="189">
        <v>4.5</v>
      </c>
      <c r="K36" s="160" t="s">
        <v>41</v>
      </c>
      <c r="L36" s="634">
        <v>2</v>
      </c>
    </row>
    <row r="37" spans="1:16" x14ac:dyDescent="0.2">
      <c r="A37" s="750" t="s">
        <v>484</v>
      </c>
      <c r="B37" s="1026" t="s">
        <v>41</v>
      </c>
      <c r="C37" s="1026" t="s">
        <v>41</v>
      </c>
      <c r="D37" s="1026">
        <v>1.5</v>
      </c>
      <c r="E37" s="1184">
        <v>1.36</v>
      </c>
      <c r="F37" s="1026" t="s">
        <v>41</v>
      </c>
      <c r="G37" s="994">
        <v>0.45</v>
      </c>
      <c r="H37" s="880" t="s">
        <v>41</v>
      </c>
      <c r="I37" s="1071" t="s">
        <v>41</v>
      </c>
      <c r="J37" s="189">
        <v>1.75</v>
      </c>
      <c r="K37" s="160" t="s">
        <v>41</v>
      </c>
      <c r="L37" s="634">
        <v>5</v>
      </c>
    </row>
    <row r="38" spans="1:16" hidden="1" x14ac:dyDescent="0.2">
      <c r="A38" s="750" t="s">
        <v>17</v>
      </c>
      <c r="B38" s="1026" t="e">
        <f>#REF!</f>
        <v>#REF!</v>
      </c>
      <c r="C38" s="1026" t="e">
        <f t="shared" si="14"/>
        <v>#REF!</v>
      </c>
      <c r="D38" s="1026">
        <f>(75)/365</f>
        <v>0.20547945205479451</v>
      </c>
      <c r="E38" s="1184" t="s">
        <v>41</v>
      </c>
      <c r="F38" s="1026" t="s">
        <v>41</v>
      </c>
      <c r="G38" s="994" t="s">
        <v>41</v>
      </c>
      <c r="H38" s="880" t="e">
        <f>I38</f>
        <v>#REF!</v>
      </c>
      <c r="I38" s="1071" t="e">
        <f>C38</f>
        <v>#REF!</v>
      </c>
      <c r="J38" s="289">
        <v>1.1499999999999999</v>
      </c>
      <c r="K38" s="160">
        <v>0.8</v>
      </c>
      <c r="L38" s="642">
        <v>2</v>
      </c>
    </row>
    <row r="39" spans="1:16" hidden="1" x14ac:dyDescent="0.2">
      <c r="A39" s="750" t="s">
        <v>568</v>
      </c>
      <c r="B39" s="1026" t="s">
        <v>41</v>
      </c>
      <c r="C39" s="1026" t="s">
        <v>41</v>
      </c>
      <c r="D39" s="1026">
        <v>3.25</v>
      </c>
      <c r="E39" s="1184" t="s">
        <v>41</v>
      </c>
      <c r="F39" s="1026">
        <v>3</v>
      </c>
      <c r="G39" s="994">
        <v>3</v>
      </c>
      <c r="H39" s="880" t="s">
        <v>41</v>
      </c>
      <c r="I39" s="1071" t="s">
        <v>41</v>
      </c>
      <c r="J39" s="189">
        <v>3.85</v>
      </c>
      <c r="K39" s="237" t="s">
        <v>540</v>
      </c>
      <c r="L39" s="634">
        <v>5</v>
      </c>
    </row>
    <row r="40" spans="1:16" x14ac:dyDescent="0.2">
      <c r="A40" s="750" t="s">
        <v>84</v>
      </c>
      <c r="B40" s="1026" t="s">
        <v>41</v>
      </c>
      <c r="C40" s="1026" t="s">
        <v>41</v>
      </c>
      <c r="D40" s="1026" t="s">
        <v>41</v>
      </c>
      <c r="E40" s="1184">
        <v>1.5</v>
      </c>
      <c r="F40" s="1026" t="s">
        <v>41</v>
      </c>
      <c r="G40" s="994" t="s">
        <v>41</v>
      </c>
      <c r="H40" s="880" t="s">
        <v>41</v>
      </c>
      <c r="I40" s="1071" t="s">
        <v>41</v>
      </c>
      <c r="J40" s="189"/>
      <c r="K40" s="237"/>
      <c r="L40" s="634"/>
    </row>
    <row r="41" spans="1:16" x14ac:dyDescent="0.2">
      <c r="A41" s="750" t="s">
        <v>596</v>
      </c>
      <c r="B41" s="1026" t="s">
        <v>41</v>
      </c>
      <c r="C41" s="1026" t="s">
        <v>41</v>
      </c>
      <c r="D41" s="1026" t="s">
        <v>41</v>
      </c>
      <c r="E41" s="1184">
        <v>0.5</v>
      </c>
      <c r="F41" s="1026">
        <f>(15000/12)/B69</f>
        <v>1.9500780031201248</v>
      </c>
      <c r="G41" s="994">
        <f>(2200/12)/B69</f>
        <v>0.28601144045761834</v>
      </c>
      <c r="H41" s="880">
        <v>1</v>
      </c>
      <c r="I41" s="1071">
        <v>1</v>
      </c>
      <c r="J41" s="189">
        <v>0</v>
      </c>
      <c r="K41" s="237" t="s">
        <v>498</v>
      </c>
      <c r="L41" s="642" t="s">
        <v>41</v>
      </c>
      <c r="N41" s="36" t="e">
        <f>I31+I33+I37+I38+I39+I41</f>
        <v>#VALUE!</v>
      </c>
    </row>
    <row r="42" spans="1:16" ht="12.95" hidden="1" customHeight="1" thickBot="1" x14ac:dyDescent="0.25">
      <c r="A42" s="756" t="s">
        <v>475</v>
      </c>
      <c r="B42" s="1033">
        <v>0</v>
      </c>
      <c r="C42" s="1033">
        <f>B42</f>
        <v>0</v>
      </c>
      <c r="D42" s="1033" t="s">
        <v>41</v>
      </c>
      <c r="E42" s="1185" t="s">
        <v>172</v>
      </c>
      <c r="F42" s="1033">
        <v>0.1</v>
      </c>
      <c r="G42" s="995">
        <v>0.1</v>
      </c>
      <c r="H42" s="899" t="s">
        <v>41</v>
      </c>
      <c r="I42" s="1076" t="s">
        <v>41</v>
      </c>
      <c r="J42" s="667" t="s">
        <v>41</v>
      </c>
      <c r="K42" s="668"/>
      <c r="L42" s="666" t="str">
        <f>D42</f>
        <v>included</v>
      </c>
    </row>
    <row r="43" spans="1:16" ht="12.95" customHeight="1" thickBot="1" x14ac:dyDescent="0.25">
      <c r="A43" s="756" t="s">
        <v>669</v>
      </c>
      <c r="B43" s="1033" t="s">
        <v>630</v>
      </c>
      <c r="C43" s="1033" t="s">
        <v>630</v>
      </c>
      <c r="D43" s="1033" t="s">
        <v>630</v>
      </c>
      <c r="E43" s="1185">
        <f>((4500+3360+641)/12)/B69</f>
        <v>1.1051742069682786</v>
      </c>
      <c r="F43" s="1033" t="s">
        <v>630</v>
      </c>
      <c r="G43" s="995" t="s">
        <v>630</v>
      </c>
      <c r="H43" s="883" t="s">
        <v>630</v>
      </c>
      <c r="I43" s="1077" t="s">
        <v>630</v>
      </c>
      <c r="J43" s="667"/>
      <c r="K43" s="668"/>
      <c r="L43" s="666"/>
    </row>
    <row r="44" spans="1:16" ht="14.25" thickTop="1" thickBot="1" x14ac:dyDescent="0.25">
      <c r="A44" s="762" t="s">
        <v>5</v>
      </c>
      <c r="B44" s="1034">
        <f>(B31)*$B$69</f>
        <v>20428.670000000002</v>
      </c>
      <c r="C44" s="1034">
        <f>(C31)*$B$69</f>
        <v>14672.49</v>
      </c>
      <c r="D44" s="1034">
        <f>(D31+D37)*B69</f>
        <v>16242.94</v>
      </c>
      <c r="E44" s="1186">
        <f>(E31+E33+E35+E37+E40+E41+E34+E43)*B69</f>
        <v>15944.723333333332</v>
      </c>
      <c r="F44" s="1034">
        <f>(F31+F41+F34)*B69</f>
        <v>3333.2500000000009</v>
      </c>
      <c r="G44" s="996">
        <f>(G31+G33+G37)*B69</f>
        <v>31607.709999999995</v>
      </c>
      <c r="H44" s="900">
        <f>(H31+H41)*B69</f>
        <v>15313.49</v>
      </c>
      <c r="I44" s="1078">
        <f>(I31+I41)*B69</f>
        <v>15313.49</v>
      </c>
      <c r="J44" s="672">
        <f>(J31+J33+J35+J36+J37+J38+J39)*B69</f>
        <v>26627.14</v>
      </c>
      <c r="K44" s="673">
        <f>(K31+K32+K33+K38)*B69</f>
        <v>32871.449999999997</v>
      </c>
      <c r="L44" s="671">
        <f>(L31+L32+L33+L35+L36+L37+L38+L39)*$B$69</f>
        <v>27242.5</v>
      </c>
      <c r="P44" s="36">
        <f>C44*3</f>
        <v>44017.47</v>
      </c>
    </row>
    <row r="45" spans="1:16" ht="14.25" thickTop="1" thickBot="1" x14ac:dyDescent="0.25">
      <c r="A45" s="756" t="s">
        <v>6</v>
      </c>
      <c r="B45" s="746">
        <f>+B44*12</f>
        <v>245144.04000000004</v>
      </c>
      <c r="C45" s="746">
        <f>+C44*12</f>
        <v>176069.88</v>
      </c>
      <c r="D45" s="746">
        <f>+D44*12</f>
        <v>194915.28</v>
      </c>
      <c r="E45" s="1183">
        <f t="shared" ref="E45" si="15">+E44*12</f>
        <v>191336.68</v>
      </c>
      <c r="F45" s="746">
        <f t="shared" ref="F45:L45" si="16">+F44*12</f>
        <v>39999.000000000015</v>
      </c>
      <c r="G45" s="992">
        <f t="shared" si="16"/>
        <v>379292.51999999996</v>
      </c>
      <c r="H45" s="882">
        <f>+H44*12</f>
        <v>183761.88</v>
      </c>
      <c r="I45" s="1075">
        <f>+I44*12</f>
        <v>183761.88</v>
      </c>
      <c r="J45" s="191">
        <f t="shared" si="16"/>
        <v>319525.68</v>
      </c>
      <c r="K45" s="163">
        <f t="shared" si="16"/>
        <v>394457.39999999997</v>
      </c>
      <c r="L45" s="644">
        <f t="shared" si="16"/>
        <v>326910</v>
      </c>
      <c r="N45" s="831">
        <f>280*12</f>
        <v>3360</v>
      </c>
    </row>
    <row r="46" spans="1:16" ht="14.25" thickTop="1" thickBot="1" x14ac:dyDescent="0.25">
      <c r="A46" s="845" t="s">
        <v>678</v>
      </c>
      <c r="B46" s="1035" t="s">
        <v>34</v>
      </c>
      <c r="C46" s="1035" t="s">
        <v>34</v>
      </c>
      <c r="D46" s="1054">
        <f>E46</f>
        <v>61286.010000000009</v>
      </c>
      <c r="E46" s="1188">
        <f>B44*3</f>
        <v>61286.010000000009</v>
      </c>
      <c r="F46" s="1054">
        <f>B44*3</f>
        <v>61286.010000000009</v>
      </c>
      <c r="G46" s="1015">
        <f>F46</f>
        <v>61286.010000000009</v>
      </c>
      <c r="H46" s="901" t="s">
        <v>34</v>
      </c>
      <c r="I46" s="1079" t="s">
        <v>34</v>
      </c>
      <c r="J46" s="172"/>
      <c r="K46" s="157"/>
      <c r="L46" s="639"/>
    </row>
    <row r="47" spans="1:16" ht="13.5" hidden="1" thickTop="1" x14ac:dyDescent="0.2">
      <c r="A47" s="846" t="s">
        <v>642</v>
      </c>
      <c r="B47" s="1036">
        <f>+(B26+B63)</f>
        <v>909348.24</v>
      </c>
      <c r="C47" s="1036">
        <f>+(C26+C63)</f>
        <v>1035150.9</v>
      </c>
      <c r="D47" s="1036">
        <f>+(D26+D63)</f>
        <v>1000701.9575</v>
      </c>
      <c r="E47" s="1189">
        <f>+(E26+E63)+(E46/12)</f>
        <v>1005510.9083333333</v>
      </c>
      <c r="F47" s="1036">
        <f t="shared" ref="F47:L47" si="17">+(F26+F63)</f>
        <v>1000586.6274999999</v>
      </c>
      <c r="G47" s="997">
        <f t="shared" si="17"/>
        <v>962338.10749999993</v>
      </c>
      <c r="H47" s="885">
        <f>+(H26+H63)</f>
        <v>1015510.66</v>
      </c>
      <c r="I47" s="1080">
        <f>+(I26+I63)</f>
        <v>1012356.9400000001</v>
      </c>
      <c r="J47" s="190">
        <f t="shared" si="17"/>
        <v>67118.64</v>
      </c>
      <c r="K47" s="162">
        <f t="shared" si="17"/>
        <v>32871.449999999997</v>
      </c>
      <c r="L47" s="643">
        <f t="shared" si="17"/>
        <v>874559.85</v>
      </c>
    </row>
    <row r="48" spans="1:16" ht="14.25" hidden="1" thickTop="1" thickBot="1" x14ac:dyDescent="0.25">
      <c r="A48" s="847" t="s">
        <v>643</v>
      </c>
      <c r="B48" s="1037">
        <f>+B47*12</f>
        <v>10912178.879999999</v>
      </c>
      <c r="C48" s="1037">
        <f>+C47*12</f>
        <v>12421810.800000001</v>
      </c>
      <c r="D48" s="1037">
        <f t="shared" ref="D48" si="18">+D47*12</f>
        <v>12008423.49</v>
      </c>
      <c r="E48" s="1190">
        <f>+E47*12</f>
        <v>12066130.9</v>
      </c>
      <c r="F48" s="1037">
        <f>+F47*12</f>
        <v>12007039.529999999</v>
      </c>
      <c r="G48" s="998">
        <f>+G47*12</f>
        <v>11548057.289999999</v>
      </c>
      <c r="H48" s="886">
        <f>+H47*12</f>
        <v>12186127.92</v>
      </c>
      <c r="I48" s="1081">
        <f>+I47*12</f>
        <v>12148283.280000001</v>
      </c>
      <c r="J48" s="191">
        <f t="shared" ref="J48" si="19">+J47*12</f>
        <v>805423.67999999993</v>
      </c>
      <c r="K48" s="163">
        <f>+K47*12</f>
        <v>394457.39999999997</v>
      </c>
      <c r="L48" s="644">
        <f t="shared" ref="L48" si="20">+L47*12</f>
        <v>10494718.199999999</v>
      </c>
    </row>
    <row r="49" spans="1:14" ht="14.25" hidden="1" customHeight="1" thickTop="1" thickBot="1" x14ac:dyDescent="0.25">
      <c r="A49" s="918" t="s">
        <v>519</v>
      </c>
      <c r="B49" s="1038" t="s">
        <v>34</v>
      </c>
      <c r="C49" s="1171">
        <f t="shared" ref="C49" si="21">C48-$B$48</f>
        <v>1509631.9200000018</v>
      </c>
      <c r="D49" s="1037">
        <f>D48-$B$48</f>
        <v>1096244.6100000013</v>
      </c>
      <c r="E49" s="1190">
        <f t="shared" ref="E49:I49" si="22">E48-$B$48</f>
        <v>1153952.0200000014</v>
      </c>
      <c r="F49" s="1037">
        <f t="shared" si="22"/>
        <v>1094860.6500000004</v>
      </c>
      <c r="G49" s="998">
        <f t="shared" si="22"/>
        <v>635878.41000000015</v>
      </c>
      <c r="H49" s="902">
        <f t="shared" si="22"/>
        <v>1273949.040000001</v>
      </c>
      <c r="I49" s="1082">
        <f t="shared" si="22"/>
        <v>1236104.4000000022</v>
      </c>
      <c r="J49" s="887">
        <f>J45-$B$45</f>
        <v>74381.639999999956</v>
      </c>
      <c r="K49" s="644">
        <f>K45-$B$45</f>
        <v>149313.35999999993</v>
      </c>
      <c r="L49" s="644">
        <f>L45-$B$45</f>
        <v>81765.959999999963</v>
      </c>
    </row>
    <row r="50" spans="1:14" ht="15" hidden="1" customHeight="1" thickTop="1" thickBot="1" x14ac:dyDescent="0.25">
      <c r="A50" s="919" t="s">
        <v>520</v>
      </c>
      <c r="B50" s="1039" t="s">
        <v>34</v>
      </c>
      <c r="C50" s="1172">
        <f t="shared" ref="C50" si="23">C49/$B$48</f>
        <v>0.1383437658602607</v>
      </c>
      <c r="D50" s="1110">
        <f>D49/$B$48</f>
        <v>0.10046065245587335</v>
      </c>
      <c r="E50" s="1227">
        <f t="shared" ref="E50:I50" si="24">E49/$B$48</f>
        <v>0.10574900143132565</v>
      </c>
      <c r="F50" s="1110">
        <f t="shared" si="24"/>
        <v>0.10033382535605946</v>
      </c>
      <c r="G50" s="1103">
        <f t="shared" si="24"/>
        <v>5.8272359442846693E-2</v>
      </c>
      <c r="H50" s="903">
        <f t="shared" si="24"/>
        <v>0.11674561551908881</v>
      </c>
      <c r="I50" s="1083">
        <f t="shared" si="24"/>
        <v>0.11327750521626367</v>
      </c>
      <c r="J50" s="888">
        <f t="shared" ref="J50" si="25">J49/$B$45</f>
        <v>0.30342014433636627</v>
      </c>
      <c r="K50" s="665">
        <f>K49/$B$45</f>
        <v>0.60908419392941349</v>
      </c>
      <c r="L50" s="665">
        <f>L49/$B$45</f>
        <v>0.33354251647317207</v>
      </c>
    </row>
    <row r="51" spans="1:14" ht="14.25" hidden="1" customHeight="1" x14ac:dyDescent="0.2">
      <c r="A51" s="817" t="s">
        <v>561</v>
      </c>
      <c r="B51" s="1040"/>
      <c r="C51" s="1111"/>
      <c r="D51" s="1111"/>
      <c r="E51" s="1228"/>
      <c r="F51" s="1217"/>
      <c r="G51" s="1129"/>
      <c r="H51" s="848"/>
      <c r="I51" s="1084"/>
      <c r="J51" s="793"/>
      <c r="K51" s="794"/>
      <c r="L51" s="795"/>
    </row>
    <row r="52" spans="1:14" ht="12" hidden="1" customHeight="1" x14ac:dyDescent="0.2">
      <c r="A52" s="763" t="s">
        <v>483</v>
      </c>
      <c r="B52" s="1041" t="s">
        <v>34</v>
      </c>
      <c r="C52" s="1041" t="s">
        <v>34</v>
      </c>
      <c r="D52" s="1041">
        <f>K52</f>
        <v>37061</v>
      </c>
      <c r="E52" s="1229">
        <f>F52</f>
        <v>37061</v>
      </c>
      <c r="F52" s="1041">
        <f>I52</f>
        <v>37061</v>
      </c>
      <c r="G52" s="999">
        <f>E52</f>
        <v>37061</v>
      </c>
      <c r="H52" s="849">
        <v>37061</v>
      </c>
      <c r="I52" s="1085">
        <v>37061</v>
      </c>
      <c r="J52" s="662">
        <v>37061</v>
      </c>
      <c r="K52" s="662">
        <f>E52</f>
        <v>37061</v>
      </c>
      <c r="L52" s="657" t="s">
        <v>34</v>
      </c>
    </row>
    <row r="53" spans="1:14" ht="12" hidden="1" customHeight="1" x14ac:dyDescent="0.2">
      <c r="A53" s="765" t="s">
        <v>526</v>
      </c>
      <c r="B53" s="1042">
        <f>-46689*4</f>
        <v>-186756</v>
      </c>
      <c r="C53" s="1042">
        <f>B53</f>
        <v>-186756</v>
      </c>
      <c r="D53" s="1042">
        <f>-Pharmacy!F30</f>
        <v>23.94</v>
      </c>
      <c r="E53" s="1230">
        <f>-23*765*12</f>
        <v>-211140</v>
      </c>
      <c r="F53" s="1042">
        <f>-6*B69*12</f>
        <v>-46152</v>
      </c>
      <c r="G53" s="1000">
        <f>-6*C69*12</f>
        <v>0</v>
      </c>
      <c r="H53" s="850">
        <f>-Pharmacy!C30</f>
        <v>28.32</v>
      </c>
      <c r="I53" s="1086">
        <f>-Pharmacy!D30</f>
        <v>17.770410816432658</v>
      </c>
      <c r="J53" s="676">
        <v>0</v>
      </c>
      <c r="K53" s="674" t="s">
        <v>537</v>
      </c>
      <c r="L53" s="675" t="s">
        <v>34</v>
      </c>
    </row>
    <row r="54" spans="1:14" ht="14.25" hidden="1" thickTop="1" thickBot="1" x14ac:dyDescent="0.25">
      <c r="A54" s="767" t="s">
        <v>566</v>
      </c>
      <c r="B54" s="1043" t="s">
        <v>34</v>
      </c>
      <c r="C54" s="1043" t="s">
        <v>34</v>
      </c>
      <c r="D54" s="1112">
        <v>-20000</v>
      </c>
      <c r="E54" s="1231">
        <v>-25000</v>
      </c>
      <c r="F54" s="1112">
        <f>(30000+10000+(26622*2))*-1</f>
        <v>-93244</v>
      </c>
      <c r="G54" s="768">
        <f>(30000+10000+(26622*2))*-1</f>
        <v>-93244</v>
      </c>
      <c r="H54" s="851">
        <f>-60000+-50000</f>
        <v>-110000</v>
      </c>
      <c r="I54" s="1087">
        <f>-60000+-50000</f>
        <v>-110000</v>
      </c>
      <c r="J54" s="677">
        <v>0</v>
      </c>
      <c r="K54" s="669" t="s">
        <v>537</v>
      </c>
      <c r="L54" s="664" t="s">
        <v>34</v>
      </c>
    </row>
    <row r="55" spans="1:14" ht="13.5" hidden="1" thickTop="1" x14ac:dyDescent="0.2">
      <c r="A55" s="750"/>
      <c r="B55" s="1044"/>
      <c r="C55" s="1044"/>
      <c r="D55" s="1113"/>
      <c r="E55" s="1232"/>
      <c r="F55" s="1113"/>
      <c r="G55" s="769"/>
      <c r="H55" s="852"/>
      <c r="I55" s="1088"/>
      <c r="J55" s="663"/>
      <c r="K55" s="463"/>
      <c r="L55" s="652"/>
    </row>
    <row r="56" spans="1:14" ht="14.25" hidden="1" thickTop="1" thickBot="1" x14ac:dyDescent="0.25">
      <c r="A56" s="743" t="s">
        <v>567</v>
      </c>
      <c r="B56" s="746">
        <f>B45+B53</f>
        <v>58388.040000000037</v>
      </c>
      <c r="C56" s="746">
        <f>C45+C53</f>
        <v>-10686.119999999995</v>
      </c>
      <c r="D56" s="746">
        <f>D45+D53+D52+D54</f>
        <v>212000.22</v>
      </c>
      <c r="E56" s="1183">
        <f t="shared" ref="E56:J56" si="26">E45+E53+E52+E54</f>
        <v>-7742.320000000007</v>
      </c>
      <c r="F56" s="746">
        <f t="shared" si="26"/>
        <v>-62335.999999999985</v>
      </c>
      <c r="G56" s="992">
        <f t="shared" si="26"/>
        <v>323109.51999999996</v>
      </c>
      <c r="H56" s="853">
        <f>H45+H53+H52+H54</f>
        <v>110851.20000000001</v>
      </c>
      <c r="I56" s="857">
        <f>I45+I53+I52+I54</f>
        <v>110840.65041081645</v>
      </c>
      <c r="J56" s="191">
        <f t="shared" si="26"/>
        <v>356586.68</v>
      </c>
      <c r="K56" s="191">
        <f>K45+K52</f>
        <v>431518.39999999997</v>
      </c>
      <c r="L56" s="644">
        <f>L45</f>
        <v>326910</v>
      </c>
    </row>
    <row r="57" spans="1:14" ht="14.25" hidden="1" thickTop="1" thickBot="1" x14ac:dyDescent="0.25">
      <c r="A57" s="743" t="s">
        <v>102</v>
      </c>
      <c r="B57" s="1045" t="s">
        <v>34</v>
      </c>
      <c r="C57" s="1114">
        <f t="shared" ref="C57:G57" si="27">($B$56-C56)/-$B$56</f>
        <v>-1.1830189881352411</v>
      </c>
      <c r="D57" s="1114">
        <f>($B$56-D56)/-$B$56</f>
        <v>2.6308843386419523</v>
      </c>
      <c r="E57" s="1233">
        <f t="shared" si="27"/>
        <v>-1.132601128587293</v>
      </c>
      <c r="F57" s="1114">
        <f t="shared" si="27"/>
        <v>-2.0676159021607838</v>
      </c>
      <c r="G57" s="1057">
        <f t="shared" si="27"/>
        <v>4.5338305584499796</v>
      </c>
      <c r="H57" s="904">
        <f>($B$56-H56)/-$B$56</f>
        <v>0.89852579398109511</v>
      </c>
      <c r="I57" s="854">
        <f>($B$56-I56)/-$B$56</f>
        <v>0.89834511332828404</v>
      </c>
      <c r="J57" s="314">
        <f t="shared" ref="J57" si="28">($B$56-J56)/-$B$56</f>
        <v>5.1071870198074771</v>
      </c>
      <c r="K57" s="646">
        <f>($B$56-K56)/-$B$56</f>
        <v>6.3905272381124574</v>
      </c>
      <c r="L57" s="646">
        <f>($B$56-L56)/-$B$56</f>
        <v>4.5989206008627761</v>
      </c>
    </row>
    <row r="58" spans="1:14" ht="14.25" hidden="1" thickTop="1" thickBot="1" x14ac:dyDescent="0.25">
      <c r="A58" s="744" t="s">
        <v>119</v>
      </c>
      <c r="B58" s="1046" t="s">
        <v>34</v>
      </c>
      <c r="C58" s="745">
        <f>C56-B56</f>
        <v>-69074.160000000033</v>
      </c>
      <c r="D58" s="745">
        <f>D56-K56</f>
        <v>-219518.17999999996</v>
      </c>
      <c r="E58" s="1234">
        <f>E56-F56</f>
        <v>54593.679999999978</v>
      </c>
      <c r="F58" s="745">
        <f>F56-I56</f>
        <v>-173176.65041081642</v>
      </c>
      <c r="G58" s="1058">
        <f>G56-E56</f>
        <v>330851.83999999997</v>
      </c>
      <c r="H58" s="905">
        <f>H56-I56</f>
        <v>10.549589183559874</v>
      </c>
      <c r="I58" s="855">
        <f>I56-C56</f>
        <v>121526.77041081645</v>
      </c>
      <c r="J58" s="315">
        <f>J56-D56</f>
        <v>144586.46</v>
      </c>
      <c r="K58" s="647">
        <f>K56-E56</f>
        <v>439260.72</v>
      </c>
      <c r="L58" s="647">
        <f>L56-D56</f>
        <v>114909.78</v>
      </c>
    </row>
    <row r="59" spans="1:14" ht="14.25" hidden="1" thickTop="1" thickBot="1" x14ac:dyDescent="0.25">
      <c r="A59" s="743" t="s">
        <v>152</v>
      </c>
      <c r="B59" s="1047">
        <f>B28+B64</f>
        <v>8778771.9120000005</v>
      </c>
      <c r="C59" s="746" t="e">
        <f>C28+C64+#REF!</f>
        <v>#REF!</v>
      </c>
      <c r="D59" s="746" t="e">
        <f>D28+D64+#REF!</f>
        <v>#REF!</v>
      </c>
      <c r="E59" s="1183" t="e">
        <f>E28+E64+#REF!</f>
        <v>#REF!</v>
      </c>
      <c r="F59" s="746" t="e">
        <f>F28+F64+#REF!</f>
        <v>#REF!</v>
      </c>
      <c r="G59" s="992" t="e">
        <f>G28+G64+#REF!</f>
        <v>#REF!</v>
      </c>
      <c r="H59" s="906" t="e">
        <f>H28+H64+#REF!</f>
        <v>#REF!</v>
      </c>
      <c r="I59" s="856" t="e">
        <f>I28+I64+#REF!</f>
        <v>#REF!</v>
      </c>
      <c r="J59" s="191" t="e">
        <f>J28+J64+#REF!</f>
        <v>#REF!</v>
      </c>
      <c r="K59" s="644" t="e">
        <f>K28+K64+#REF!</f>
        <v>#REF!</v>
      </c>
      <c r="L59" s="644" t="e">
        <f>L28+L64+#REF!</f>
        <v>#REF!</v>
      </c>
      <c r="N59" s="78" t="s">
        <v>116</v>
      </c>
    </row>
    <row r="60" spans="1:14" ht="14.25" hidden="1" thickTop="1" thickBot="1" x14ac:dyDescent="0.25">
      <c r="A60" s="743" t="s">
        <v>100</v>
      </c>
      <c r="B60" s="1045" t="s">
        <v>34</v>
      </c>
      <c r="C60" s="1115">
        <f t="shared" ref="C60:L60" si="29">C56-$B$56</f>
        <v>-69074.160000000033</v>
      </c>
      <c r="D60" s="746">
        <f>D56-$B$56</f>
        <v>153612.17999999996</v>
      </c>
      <c r="E60" s="1235">
        <f t="shared" si="29"/>
        <v>-66130.360000000044</v>
      </c>
      <c r="F60" s="1115">
        <f t="shared" si="29"/>
        <v>-120724.04000000002</v>
      </c>
      <c r="G60" s="1059">
        <f t="shared" ref="G60" si="30">G56-$B$56</f>
        <v>264721.47999999992</v>
      </c>
      <c r="H60" s="853">
        <f>H56-$B$56</f>
        <v>52463.159999999974</v>
      </c>
      <c r="I60" s="857">
        <f>I56-$B$56</f>
        <v>52452.610410816415</v>
      </c>
      <c r="J60" s="887">
        <f t="shared" si="29"/>
        <v>298198.63999999996</v>
      </c>
      <c r="K60" s="644">
        <f t="shared" si="29"/>
        <v>373130.35999999993</v>
      </c>
      <c r="L60" s="644">
        <f t="shared" si="29"/>
        <v>268521.95999999996</v>
      </c>
    </row>
    <row r="61" spans="1:14" ht="15" hidden="1" customHeight="1" thickTop="1" thickBot="1" x14ac:dyDescent="0.25">
      <c r="A61" s="744" t="s">
        <v>101</v>
      </c>
      <c r="B61" s="1046" t="s">
        <v>34</v>
      </c>
      <c r="C61" s="1116">
        <f t="shared" ref="C61:L61" si="31">C60/$B$56</f>
        <v>-1.1830189881352411</v>
      </c>
      <c r="D61" s="1127">
        <f>D60/$B$56</f>
        <v>2.6308843386419523</v>
      </c>
      <c r="E61" s="1236">
        <f t="shared" si="31"/>
        <v>-1.132601128587293</v>
      </c>
      <c r="F61" s="1116">
        <f t="shared" si="31"/>
        <v>-2.0676159021607838</v>
      </c>
      <c r="G61" s="1060">
        <f t="shared" ref="G61" si="32">G60/$B$56</f>
        <v>4.5338305584499796</v>
      </c>
      <c r="H61" s="890">
        <f>H60/$B$56</f>
        <v>0.89852579398109511</v>
      </c>
      <c r="I61" s="858">
        <f>I60/$B$56</f>
        <v>0.89834511332828404</v>
      </c>
      <c r="J61" s="888">
        <f t="shared" si="31"/>
        <v>5.1071870198074771</v>
      </c>
      <c r="K61" s="665">
        <f t="shared" si="31"/>
        <v>6.3905272381124574</v>
      </c>
      <c r="L61" s="665">
        <f t="shared" si="31"/>
        <v>4.5989206008627761</v>
      </c>
    </row>
    <row r="62" spans="1:14" ht="15" hidden="1" customHeight="1" thickTop="1" thickBot="1" x14ac:dyDescent="0.25">
      <c r="A62" s="845" t="s">
        <v>679</v>
      </c>
      <c r="B62" s="1035"/>
      <c r="C62" s="1035"/>
      <c r="D62" s="1054"/>
      <c r="E62" s="1188"/>
      <c r="F62" s="1218"/>
      <c r="G62" s="1015"/>
      <c r="H62" s="901"/>
      <c r="I62" s="1079"/>
      <c r="J62" s="793"/>
      <c r="K62" s="794"/>
      <c r="L62" s="795"/>
    </row>
    <row r="63" spans="1:14" ht="13.5" thickTop="1" x14ac:dyDescent="0.2">
      <c r="A63" s="844" t="s">
        <v>676</v>
      </c>
      <c r="B63" s="1048">
        <f>B44</f>
        <v>20428.670000000002</v>
      </c>
      <c r="C63" s="1048">
        <f>C44</f>
        <v>14672.49</v>
      </c>
      <c r="D63" s="1048">
        <f>D44+(D46/12)</f>
        <v>21350.107500000002</v>
      </c>
      <c r="E63" s="1187">
        <f>E44+(E46/12)</f>
        <v>21051.890833333331</v>
      </c>
      <c r="F63" s="1048">
        <f>F44+(F46/12)</f>
        <v>8440.4175000000014</v>
      </c>
      <c r="G63" s="1003">
        <f t="shared" ref="G63" si="33">G44+(G46/12)</f>
        <v>36714.877499999995</v>
      </c>
      <c r="H63" s="884">
        <f>+H17+H20+H44</f>
        <v>96053.849999999991</v>
      </c>
      <c r="I63" s="1089">
        <f>I44</f>
        <v>15313.49</v>
      </c>
      <c r="J63" s="172">
        <f>+J17+J20+J44</f>
        <v>67118.64</v>
      </c>
      <c r="K63" s="157">
        <f>+K17+K20+K44</f>
        <v>32871.449999999997</v>
      </c>
      <c r="L63" s="639">
        <f>+L17+L20+L44</f>
        <v>60034.740000000005</v>
      </c>
    </row>
    <row r="64" spans="1:14" ht="12.75" customHeight="1" thickBot="1" x14ac:dyDescent="0.25">
      <c r="A64" s="891" t="s">
        <v>677</v>
      </c>
      <c r="B64" s="1049">
        <f>+B63*12</f>
        <v>245144.04000000004</v>
      </c>
      <c r="C64" s="1049">
        <f t="shared" ref="C64:E64" si="34">+C63*12</f>
        <v>176069.88</v>
      </c>
      <c r="D64" s="1049">
        <f>+D63*12</f>
        <v>256201.29000000004</v>
      </c>
      <c r="E64" s="1237">
        <f t="shared" si="34"/>
        <v>252622.68999999997</v>
      </c>
      <c r="F64" s="1049">
        <f>+F63*12</f>
        <v>101285.01000000001</v>
      </c>
      <c r="G64" s="1004">
        <f>+G63*12</f>
        <v>440578.52999999991</v>
      </c>
      <c r="H64" s="892">
        <f>+H63*12</f>
        <v>1152646.2</v>
      </c>
      <c r="I64" s="1090">
        <f>+I63*12</f>
        <v>183761.88</v>
      </c>
      <c r="J64" s="311">
        <f t="shared" ref="J64" si="35">+J63*12</f>
        <v>805423.67999999993</v>
      </c>
      <c r="K64" s="224">
        <f>+K63*12</f>
        <v>394457.39999999997</v>
      </c>
      <c r="L64" s="640">
        <f t="shared" ref="L64" si="36">+L63*12</f>
        <v>720416.88000000012</v>
      </c>
    </row>
    <row r="65" spans="1:15" ht="13.5" thickTop="1" x14ac:dyDescent="0.2">
      <c r="A65" s="893" t="s">
        <v>681</v>
      </c>
      <c r="B65" s="1050" t="s">
        <v>34</v>
      </c>
      <c r="C65" s="1219">
        <f>C64-B64</f>
        <v>-69074.160000000033</v>
      </c>
      <c r="D65" s="1117">
        <f>D64-B64</f>
        <v>11057.25</v>
      </c>
      <c r="E65" s="1238">
        <f>E64-B64</f>
        <v>7478.649999999936</v>
      </c>
      <c r="F65" s="1219">
        <f>F64-B64</f>
        <v>-143859.03000000003</v>
      </c>
      <c r="G65" s="1104">
        <f>G64-B64</f>
        <v>195434.48999999987</v>
      </c>
      <c r="H65" s="907"/>
      <c r="I65" s="1091">
        <f>I64-B64</f>
        <v>-61382.160000000033</v>
      </c>
      <c r="J65" s="319"/>
      <c r="K65" s="319"/>
      <c r="L65" s="319"/>
    </row>
    <row r="66" spans="1:15" ht="15" customHeight="1" thickBot="1" x14ac:dyDescent="0.25">
      <c r="A66" s="894" t="s">
        <v>682</v>
      </c>
      <c r="B66" s="1051" t="s">
        <v>34</v>
      </c>
      <c r="C66" s="1220">
        <f>C65/$B$64</f>
        <v>-0.28176968936303742</v>
      </c>
      <c r="D66" s="1118">
        <f>D65/$B$64</f>
        <v>4.5105114527769052E-2</v>
      </c>
      <c r="E66" s="1239">
        <f t="shared" ref="E66:G66" si="37">E65/$B$64</f>
        <v>3.0507166317402353E-2</v>
      </c>
      <c r="F66" s="1220">
        <f t="shared" si="37"/>
        <v>-0.58683470338499766</v>
      </c>
      <c r="G66" s="1105">
        <f t="shared" si="37"/>
        <v>0.79722309381863754</v>
      </c>
      <c r="H66" s="908">
        <f>H65/$B$64</f>
        <v>0</v>
      </c>
      <c r="I66" s="1092">
        <f>I65/$B$64</f>
        <v>-0.25039221838719811</v>
      </c>
      <c r="J66" s="170"/>
      <c r="K66" s="588"/>
      <c r="L66" s="170"/>
    </row>
    <row r="67" spans="1:15" ht="4.5" customHeight="1" x14ac:dyDescent="0.2">
      <c r="A67" s="747"/>
      <c r="B67" s="749"/>
      <c r="C67" s="748"/>
      <c r="D67" s="748"/>
      <c r="E67" s="748"/>
      <c r="F67" s="1240" t="s">
        <v>684</v>
      </c>
      <c r="G67" s="748"/>
      <c r="H67" s="748"/>
      <c r="I67" s="748"/>
      <c r="J67" s="170"/>
      <c r="K67" s="588"/>
      <c r="L67" s="170"/>
    </row>
    <row r="68" spans="1:15" x14ac:dyDescent="0.2">
      <c r="A68" s="751" t="s">
        <v>16</v>
      </c>
      <c r="B68" s="752" t="s">
        <v>15</v>
      </c>
      <c r="C68" s="770"/>
      <c r="D68" s="770"/>
      <c r="E68" s="755"/>
      <c r="F68" s="1240" t="s">
        <v>685</v>
      </c>
      <c r="G68" s="748"/>
      <c r="H68" s="770"/>
      <c r="I68" s="770"/>
      <c r="J68" s="287"/>
      <c r="K68" s="465"/>
      <c r="L68" s="287"/>
      <c r="M68">
        <v>48.92</v>
      </c>
      <c r="N68">
        <v>51.36</v>
      </c>
      <c r="O68">
        <f>M68-N68</f>
        <v>-2.4399999999999977</v>
      </c>
    </row>
    <row r="69" spans="1:15" x14ac:dyDescent="0.2">
      <c r="A69" s="751" t="s">
        <v>464</v>
      </c>
      <c r="B69" s="752">
        <v>641</v>
      </c>
      <c r="C69" s="770"/>
      <c r="D69" s="751"/>
      <c r="E69" s="751"/>
      <c r="F69" s="1240" t="s">
        <v>686</v>
      </c>
      <c r="G69" s="751"/>
      <c r="H69" s="770"/>
      <c r="I69" s="770"/>
      <c r="J69" s="287"/>
      <c r="K69" s="408">
        <f>E28-I28</f>
        <v>-169839.36000000127</v>
      </c>
      <c r="L69" s="287"/>
      <c r="O69">
        <f>O68/M68</f>
        <v>-4.9877350776778365E-2</v>
      </c>
    </row>
    <row r="70" spans="1:15" x14ac:dyDescent="0.2">
      <c r="A70" s="751" t="s">
        <v>584</v>
      </c>
      <c r="B70" s="752">
        <v>230</v>
      </c>
      <c r="C70" s="751"/>
      <c r="D70" s="751"/>
      <c r="E70" s="751"/>
      <c r="F70" s="751"/>
      <c r="G70" s="751"/>
      <c r="H70" s="751"/>
      <c r="I70" s="751"/>
      <c r="J70" s="85"/>
      <c r="K70" s="85"/>
      <c r="L70" s="85"/>
    </row>
    <row r="71" spans="1:15" x14ac:dyDescent="0.2">
      <c r="A71" s="751" t="s">
        <v>585</v>
      </c>
      <c r="B71" s="752">
        <v>166</v>
      </c>
      <c r="C71" s="770"/>
      <c r="D71" s="751"/>
      <c r="E71" s="751"/>
      <c r="F71" s="751"/>
      <c r="G71" s="751"/>
      <c r="H71" s="770"/>
      <c r="I71" s="770"/>
      <c r="J71" s="287"/>
      <c r="K71" s="85"/>
      <c r="L71" s="287"/>
    </row>
    <row r="72" spans="1:15" ht="13.5" thickBot="1" x14ac:dyDescent="0.25">
      <c r="A72" s="751" t="s">
        <v>586</v>
      </c>
      <c r="B72" s="752">
        <v>304</v>
      </c>
      <c r="C72" s="751"/>
      <c r="D72" s="751"/>
      <c r="E72" s="751"/>
      <c r="F72" s="751"/>
      <c r="G72" s="751"/>
      <c r="H72" s="751"/>
      <c r="I72" s="751"/>
    </row>
    <row r="73" spans="1:15" ht="13.5" thickBot="1" x14ac:dyDescent="0.25">
      <c r="A73" s="796" t="s">
        <v>563</v>
      </c>
      <c r="B73" s="797" t="str">
        <f>B2</f>
        <v>UHC</v>
      </c>
      <c r="C73" s="797" t="str">
        <f>C5</f>
        <v>UHC</v>
      </c>
      <c r="D73" s="797" t="str">
        <f>D2</f>
        <v>Aetna</v>
      </c>
      <c r="E73" s="798" t="str">
        <f t="shared" ref="E73:K73" si="38">E2</f>
        <v>Continental</v>
      </c>
      <c r="F73" s="874" t="str">
        <f t="shared" si="38"/>
        <v>Cigna</v>
      </c>
      <c r="G73" s="798" t="str">
        <f t="shared" si="38"/>
        <v>BCBS</v>
      </c>
      <c r="H73" s="799" t="str">
        <f>H2</f>
        <v>UHC</v>
      </c>
      <c r="I73" s="859" t="str">
        <f>I2</f>
        <v>UHC</v>
      </c>
      <c r="J73" s="178" t="str">
        <f t="shared" si="38"/>
        <v>Health Smart</v>
      </c>
      <c r="K73" s="178" t="str">
        <f t="shared" si="38"/>
        <v>Scott and White</v>
      </c>
      <c r="L73" s="141" t="s">
        <v>76</v>
      </c>
    </row>
    <row r="74" spans="1:15" ht="13.5" hidden="1" thickBot="1" x14ac:dyDescent="0.25">
      <c r="A74" s="763" t="s">
        <v>370</v>
      </c>
      <c r="B74" s="913" t="s">
        <v>34</v>
      </c>
      <c r="C74" s="913" t="s">
        <v>270</v>
      </c>
      <c r="D74" s="913" t="s">
        <v>270</v>
      </c>
      <c r="E74" s="771" t="s">
        <v>382</v>
      </c>
      <c r="F74" s="764" t="s">
        <v>270</v>
      </c>
      <c r="G74" s="771" t="s">
        <v>270</v>
      </c>
      <c r="H74" s="772" t="s">
        <v>270</v>
      </c>
      <c r="I74" s="763" t="s">
        <v>270</v>
      </c>
      <c r="J74" s="531" t="s">
        <v>379</v>
      </c>
      <c r="K74" s="531" t="s">
        <v>270</v>
      </c>
      <c r="L74" s="531" t="s">
        <v>270</v>
      </c>
    </row>
    <row r="75" spans="1:15" ht="13.5" hidden="1" thickBot="1" x14ac:dyDescent="0.25">
      <c r="A75" s="763" t="s">
        <v>371</v>
      </c>
      <c r="B75" s="914" t="s">
        <v>34</v>
      </c>
      <c r="C75" s="914" t="s">
        <v>34</v>
      </c>
      <c r="D75" s="914" t="s">
        <v>664</v>
      </c>
      <c r="E75" s="773" t="s">
        <v>664</v>
      </c>
      <c r="F75" s="1412" t="s">
        <v>664</v>
      </c>
      <c r="G75" s="773" t="s">
        <v>664</v>
      </c>
      <c r="H75" s="860" t="s">
        <v>664</v>
      </c>
      <c r="I75" s="860" t="s">
        <v>664</v>
      </c>
      <c r="J75" s="532" t="s">
        <v>34</v>
      </c>
      <c r="K75" s="532" t="s">
        <v>373</v>
      </c>
      <c r="L75" s="532" t="s">
        <v>34</v>
      </c>
    </row>
    <row r="76" spans="1:15" ht="13.5" hidden="1" thickBot="1" x14ac:dyDescent="0.25">
      <c r="A76" s="763" t="s">
        <v>381</v>
      </c>
      <c r="B76" s="914" t="s">
        <v>34</v>
      </c>
      <c r="C76" s="914" t="s">
        <v>34</v>
      </c>
      <c r="D76" s="914" t="s">
        <v>664</v>
      </c>
      <c r="E76" s="773" t="s">
        <v>664</v>
      </c>
      <c r="F76" s="1412" t="s">
        <v>664</v>
      </c>
      <c r="G76" s="773" t="s">
        <v>664</v>
      </c>
      <c r="H76" s="860" t="s">
        <v>664</v>
      </c>
      <c r="I76" s="860" t="s">
        <v>664</v>
      </c>
      <c r="J76" s="532" t="s">
        <v>34</v>
      </c>
      <c r="K76" s="532" t="s">
        <v>373</v>
      </c>
      <c r="L76" s="532" t="s">
        <v>34</v>
      </c>
    </row>
    <row r="77" spans="1:15" ht="13.5" hidden="1" thickBot="1" x14ac:dyDescent="0.25">
      <c r="A77" s="763" t="s">
        <v>420</v>
      </c>
      <c r="B77" s="914" t="s">
        <v>379</v>
      </c>
      <c r="C77" s="914" t="s">
        <v>379</v>
      </c>
      <c r="D77" s="914" t="s">
        <v>379</v>
      </c>
      <c r="E77" s="773" t="s">
        <v>379</v>
      </c>
      <c r="F77" s="1412" t="s">
        <v>379</v>
      </c>
      <c r="G77" s="773" t="s">
        <v>379</v>
      </c>
      <c r="H77" s="774" t="s">
        <v>379</v>
      </c>
      <c r="I77" s="860" t="s">
        <v>379</v>
      </c>
      <c r="J77" s="532" t="s">
        <v>379</v>
      </c>
      <c r="K77" s="532" t="s">
        <v>172</v>
      </c>
      <c r="L77" s="532" t="s">
        <v>172</v>
      </c>
    </row>
    <row r="78" spans="1:15" ht="13.5" hidden="1" thickBot="1" x14ac:dyDescent="0.25">
      <c r="A78" s="765" t="s">
        <v>372</v>
      </c>
      <c r="B78" s="915" t="s">
        <v>34</v>
      </c>
      <c r="C78" s="915" t="s">
        <v>34</v>
      </c>
      <c r="D78" s="915" t="s">
        <v>665</v>
      </c>
      <c r="E78" s="775" t="s">
        <v>665</v>
      </c>
      <c r="F78" s="766" t="s">
        <v>665</v>
      </c>
      <c r="G78" s="775" t="s">
        <v>665</v>
      </c>
      <c r="H78" s="777" t="s">
        <v>665</v>
      </c>
      <c r="I78" s="765" t="s">
        <v>665</v>
      </c>
      <c r="J78" s="531" t="s">
        <v>383</v>
      </c>
      <c r="K78" s="531" t="s">
        <v>383</v>
      </c>
      <c r="L78" s="531" t="s">
        <v>34</v>
      </c>
    </row>
    <row r="79" spans="1:15" ht="26.25" customHeight="1" x14ac:dyDescent="0.2">
      <c r="A79" s="776" t="s">
        <v>374</v>
      </c>
      <c r="B79" s="1146" t="s">
        <v>34</v>
      </c>
      <c r="C79" s="1135" t="s">
        <v>610</v>
      </c>
      <c r="D79" s="1135" t="s">
        <v>626</v>
      </c>
      <c r="E79" s="789" t="s">
        <v>606</v>
      </c>
      <c r="F79" s="861" t="s">
        <v>375</v>
      </c>
      <c r="G79" s="789" t="s">
        <v>646</v>
      </c>
      <c r="H79" s="782" t="s">
        <v>610</v>
      </c>
      <c r="I79" s="861" t="s">
        <v>610</v>
      </c>
      <c r="J79" s="526" t="s">
        <v>375</v>
      </c>
      <c r="K79" s="526" t="s">
        <v>436</v>
      </c>
      <c r="L79" s="526" t="s">
        <v>375</v>
      </c>
    </row>
    <row r="80" spans="1:15" ht="24" x14ac:dyDescent="0.2">
      <c r="A80" s="777" t="s">
        <v>387</v>
      </c>
      <c r="B80" s="1211" t="s">
        <v>607</v>
      </c>
      <c r="C80" s="1142" t="s">
        <v>607</v>
      </c>
      <c r="D80" s="1142" t="s">
        <v>560</v>
      </c>
      <c r="E80" s="1140" t="s">
        <v>639</v>
      </c>
      <c r="F80" s="1413" t="s">
        <v>639</v>
      </c>
      <c r="G80" s="1140" t="s">
        <v>560</v>
      </c>
      <c r="H80" s="792" t="s">
        <v>607</v>
      </c>
      <c r="I80" s="862" t="s">
        <v>607</v>
      </c>
      <c r="J80" s="526" t="s">
        <v>565</v>
      </c>
      <c r="K80" s="586" t="s">
        <v>430</v>
      </c>
      <c r="L80" s="586" t="s">
        <v>517</v>
      </c>
    </row>
    <row r="81" spans="1:12" ht="60" customHeight="1" x14ac:dyDescent="0.2">
      <c r="A81" s="777" t="s">
        <v>528</v>
      </c>
      <c r="B81" s="1147" t="s">
        <v>696</v>
      </c>
      <c r="C81" s="1136" t="s">
        <v>709</v>
      </c>
      <c r="D81" s="1136" t="s">
        <v>645</v>
      </c>
      <c r="E81" s="1131" t="s">
        <v>627</v>
      </c>
      <c r="F81" s="1414" t="s">
        <v>710</v>
      </c>
      <c r="G81" s="1132" t="s">
        <v>498</v>
      </c>
      <c r="H81" s="778" t="s">
        <v>680</v>
      </c>
      <c r="I81" s="1141" t="s">
        <v>683</v>
      </c>
      <c r="J81" s="526" t="s">
        <v>527</v>
      </c>
      <c r="K81" s="585" t="s">
        <v>435</v>
      </c>
      <c r="L81" s="585" t="s">
        <v>435</v>
      </c>
    </row>
    <row r="82" spans="1:12" ht="24" x14ac:dyDescent="0.2">
      <c r="A82" s="777" t="s">
        <v>377</v>
      </c>
      <c r="B82" s="1148" t="s">
        <v>577</v>
      </c>
      <c r="C82" s="1137" t="s">
        <v>723</v>
      </c>
      <c r="D82" s="1137" t="s">
        <v>608</v>
      </c>
      <c r="E82" s="1132" t="s">
        <v>608</v>
      </c>
      <c r="F82" s="863" t="s">
        <v>674</v>
      </c>
      <c r="G82" s="1132" t="s">
        <v>577</v>
      </c>
      <c r="H82" s="778" t="s">
        <v>577</v>
      </c>
      <c r="I82" s="863" t="s">
        <v>577</v>
      </c>
      <c r="J82" s="526" t="s">
        <v>478</v>
      </c>
      <c r="K82" s="526" t="s">
        <v>40</v>
      </c>
      <c r="L82" s="526" t="s">
        <v>40</v>
      </c>
    </row>
    <row r="83" spans="1:12" ht="14.25" customHeight="1" x14ac:dyDescent="0.2">
      <c r="A83" s="754"/>
      <c r="B83" s="1150"/>
      <c r="C83" s="1138" t="s">
        <v>724</v>
      </c>
      <c r="D83" s="1138" t="s">
        <v>619</v>
      </c>
      <c r="E83" s="1133" t="s">
        <v>729</v>
      </c>
      <c r="F83" s="864" t="s">
        <v>675</v>
      </c>
      <c r="G83" s="1133"/>
      <c r="H83" s="780"/>
      <c r="I83" s="864"/>
      <c r="J83" s="527" t="s">
        <v>479</v>
      </c>
      <c r="K83" s="527"/>
      <c r="L83" s="527"/>
    </row>
    <row r="84" spans="1:12" ht="24" x14ac:dyDescent="0.2">
      <c r="A84" s="779"/>
      <c r="B84" s="1149"/>
      <c r="C84" s="1139" t="s">
        <v>727</v>
      </c>
      <c r="D84" s="1139" t="s">
        <v>726</v>
      </c>
      <c r="E84" s="1134" t="s">
        <v>728</v>
      </c>
      <c r="F84" s="865" t="s">
        <v>705</v>
      </c>
      <c r="G84" s="1134"/>
      <c r="H84" s="783"/>
      <c r="I84" s="865"/>
      <c r="J84" s="527" t="s">
        <v>480</v>
      </c>
      <c r="K84" s="527"/>
      <c r="L84" s="527"/>
    </row>
    <row r="85" spans="1:12" ht="24" customHeight="1" x14ac:dyDescent="0.2">
      <c r="A85" s="754" t="s">
        <v>426</v>
      </c>
      <c r="B85" s="1212"/>
      <c r="C85" s="1138" t="s">
        <v>589</v>
      </c>
      <c r="D85" s="1138" t="s">
        <v>589</v>
      </c>
      <c r="E85" s="1133" t="s">
        <v>589</v>
      </c>
      <c r="F85" s="864" t="s">
        <v>589</v>
      </c>
      <c r="G85" s="1133" t="s">
        <v>589</v>
      </c>
      <c r="H85" s="780" t="s">
        <v>589</v>
      </c>
      <c r="I85" s="864" t="s">
        <v>589</v>
      </c>
      <c r="J85" s="526" t="s">
        <v>500</v>
      </c>
      <c r="K85" s="527" t="s">
        <v>427</v>
      </c>
      <c r="L85" s="527" t="s">
        <v>501</v>
      </c>
    </row>
    <row r="86" spans="1:12" x14ac:dyDescent="0.2">
      <c r="A86" s="772" t="s">
        <v>574</v>
      </c>
      <c r="B86" s="1213"/>
      <c r="C86" s="1159" t="s">
        <v>172</v>
      </c>
      <c r="D86" s="1159" t="s">
        <v>172</v>
      </c>
      <c r="E86" s="1152" t="s">
        <v>172</v>
      </c>
      <c r="F86" s="1154" t="s">
        <v>172</v>
      </c>
      <c r="G86" s="1152" t="s">
        <v>378</v>
      </c>
      <c r="H86" s="1153" t="s">
        <v>575</v>
      </c>
      <c r="I86" s="1154" t="s">
        <v>575</v>
      </c>
      <c r="J86" s="527"/>
      <c r="K86" s="527" t="s">
        <v>438</v>
      </c>
      <c r="L86" s="527" t="s">
        <v>530</v>
      </c>
    </row>
    <row r="87" spans="1:12" ht="13.5" hidden="1" thickBot="1" x14ac:dyDescent="0.25">
      <c r="A87" s="781" t="s">
        <v>576</v>
      </c>
      <c r="B87" s="1214"/>
      <c r="C87" s="1143" t="s">
        <v>172</v>
      </c>
      <c r="D87" s="1143"/>
      <c r="E87" s="785"/>
      <c r="F87" s="866"/>
      <c r="G87" s="785"/>
      <c r="H87" s="784" t="s">
        <v>172</v>
      </c>
      <c r="I87" s="866" t="s">
        <v>172</v>
      </c>
      <c r="J87" s="530"/>
      <c r="K87" s="533"/>
      <c r="L87" s="533"/>
    </row>
    <row r="88" spans="1:12" ht="48" x14ac:dyDescent="0.2">
      <c r="A88" s="777" t="s">
        <v>380</v>
      </c>
      <c r="B88" s="1215"/>
      <c r="C88" s="1144" t="s">
        <v>593</v>
      </c>
      <c r="D88" s="1160" t="s">
        <v>625</v>
      </c>
      <c r="E88" s="788" t="s">
        <v>609</v>
      </c>
      <c r="F88" s="1415" t="s">
        <v>618</v>
      </c>
      <c r="G88" s="786"/>
      <c r="H88" s="787" t="s">
        <v>593</v>
      </c>
      <c r="I88" s="867" t="s">
        <v>593</v>
      </c>
      <c r="J88" s="526" t="s">
        <v>481</v>
      </c>
      <c r="K88" s="526" t="s">
        <v>431</v>
      </c>
      <c r="L88" s="526" t="s">
        <v>431</v>
      </c>
    </row>
    <row r="89" spans="1:12" ht="72.75" thickBot="1" x14ac:dyDescent="0.25">
      <c r="A89" s="781"/>
      <c r="B89" s="1216"/>
      <c r="C89" s="1145" t="s">
        <v>590</v>
      </c>
      <c r="D89" s="1145" t="s">
        <v>706</v>
      </c>
      <c r="E89" s="912" t="s">
        <v>706</v>
      </c>
      <c r="F89" s="869" t="s">
        <v>707</v>
      </c>
      <c r="G89" s="912"/>
      <c r="H89" s="790" t="s">
        <v>587</v>
      </c>
      <c r="I89" s="911" t="s">
        <v>587</v>
      </c>
      <c r="J89" s="527"/>
      <c r="K89" s="527"/>
      <c r="L89" s="527"/>
    </row>
    <row r="90" spans="1:12" ht="24.75" hidden="1" customHeight="1" thickBot="1" x14ac:dyDescent="0.25">
      <c r="A90" s="781"/>
      <c r="B90" s="910"/>
      <c r="C90" s="790"/>
      <c r="D90" s="790"/>
      <c r="E90" s="790"/>
      <c r="G90" s="912"/>
      <c r="H90" s="790" t="s">
        <v>590</v>
      </c>
      <c r="I90" s="911" t="s">
        <v>590</v>
      </c>
      <c r="J90" s="538" t="s">
        <v>482</v>
      </c>
      <c r="K90" s="527" t="s">
        <v>432</v>
      </c>
      <c r="L90" s="527" t="s">
        <v>432</v>
      </c>
    </row>
    <row r="91" spans="1:12" hidden="1" x14ac:dyDescent="0.2">
      <c r="A91" s="754"/>
      <c r="B91" s="909"/>
      <c r="C91" s="787"/>
      <c r="D91" s="787"/>
      <c r="E91" s="787"/>
      <c r="F91" s="787"/>
      <c r="G91" s="787"/>
      <c r="H91" s="787"/>
      <c r="I91" s="868"/>
      <c r="J91" s="538" t="s">
        <v>525</v>
      </c>
      <c r="K91" s="527" t="s">
        <v>433</v>
      </c>
      <c r="L91" s="527" t="s">
        <v>524</v>
      </c>
    </row>
    <row r="92" spans="1:12" ht="26.1" hidden="1" customHeight="1" thickBot="1" x14ac:dyDescent="0.25">
      <c r="A92" s="781"/>
      <c r="B92" s="910"/>
      <c r="C92" s="791"/>
      <c r="D92" s="791"/>
      <c r="E92" s="790"/>
      <c r="F92" s="791"/>
      <c r="G92" s="791"/>
      <c r="H92" s="790"/>
      <c r="I92" s="869"/>
      <c r="J92" s="527" t="s">
        <v>529</v>
      </c>
      <c r="K92" s="527" t="s">
        <v>434</v>
      </c>
      <c r="L92" s="527" t="s">
        <v>434</v>
      </c>
    </row>
    <row r="93" spans="1:12" ht="13.5" hidden="1" thickBot="1" x14ac:dyDescent="0.25">
      <c r="A93" s="781"/>
      <c r="B93" s="790"/>
      <c r="C93" s="791"/>
      <c r="D93" s="791"/>
      <c r="E93" s="791"/>
      <c r="F93" s="791"/>
      <c r="G93" s="791"/>
      <c r="H93" s="827"/>
      <c r="I93" s="827"/>
      <c r="J93" s="527" t="s">
        <v>530</v>
      </c>
      <c r="K93" s="527" t="s">
        <v>437</v>
      </c>
      <c r="L93" s="527" t="s">
        <v>529</v>
      </c>
    </row>
    <row r="94" spans="1:12" x14ac:dyDescent="0.2">
      <c r="E94" s="85"/>
    </row>
    <row r="95" spans="1:12" x14ac:dyDescent="0.2">
      <c r="C95">
        <f>6*1571</f>
        <v>9426</v>
      </c>
      <c r="D95">
        <f t="shared" ref="D95:K95" si="39">32.14+0.34</f>
        <v>32.480000000000004</v>
      </c>
      <c r="E95">
        <f t="shared" si="39"/>
        <v>32.480000000000004</v>
      </c>
      <c r="F95">
        <f t="shared" si="39"/>
        <v>32.480000000000004</v>
      </c>
      <c r="G95">
        <f t="shared" si="39"/>
        <v>32.480000000000004</v>
      </c>
      <c r="K95">
        <f t="shared" si="39"/>
        <v>32.480000000000004</v>
      </c>
    </row>
    <row r="96" spans="1:12" x14ac:dyDescent="0.2">
      <c r="B96">
        <f>20.76-22.89</f>
        <v>-2.129999999999999</v>
      </c>
      <c r="C96">
        <f>786*2</f>
        <v>1572</v>
      </c>
      <c r="D96">
        <f t="shared" ref="D96:K96" si="40">36.01+0.34</f>
        <v>36.35</v>
      </c>
      <c r="E96">
        <f t="shared" si="40"/>
        <v>36.35</v>
      </c>
      <c r="F96">
        <f t="shared" si="40"/>
        <v>36.35</v>
      </c>
      <c r="G96">
        <f t="shared" si="40"/>
        <v>36.35</v>
      </c>
      <c r="K96">
        <f t="shared" si="40"/>
        <v>36.35</v>
      </c>
    </row>
    <row r="97" spans="1:12" x14ac:dyDescent="0.2">
      <c r="B97">
        <f>B96/22.89</f>
        <v>-9.3053735255570078E-2</v>
      </c>
      <c r="C97">
        <f>C95+C96</f>
        <v>10998</v>
      </c>
    </row>
    <row r="98" spans="1:12" x14ac:dyDescent="0.2">
      <c r="A98" s="78" t="s">
        <v>569</v>
      </c>
      <c r="B98">
        <v>1177.44</v>
      </c>
      <c r="C98">
        <v>1204.81</v>
      </c>
      <c r="D98">
        <f t="shared" ref="D98:K98" si="41">651.92+172.22</f>
        <v>824.14</v>
      </c>
      <c r="E98">
        <f t="shared" si="41"/>
        <v>824.14</v>
      </c>
      <c r="F98">
        <f t="shared" si="41"/>
        <v>824.14</v>
      </c>
      <c r="G98">
        <f t="shared" si="41"/>
        <v>824.14</v>
      </c>
      <c r="H98">
        <v>1133.6199999999999</v>
      </c>
      <c r="I98">
        <v>1133.6199999999999</v>
      </c>
      <c r="J98">
        <v>1133.6199999999999</v>
      </c>
      <c r="K98">
        <f t="shared" si="41"/>
        <v>824.14</v>
      </c>
      <c r="L98">
        <v>1152.95</v>
      </c>
    </row>
    <row r="99" spans="1:12" x14ac:dyDescent="0.2">
      <c r="B99">
        <f>B70*B98</f>
        <v>270811.2</v>
      </c>
      <c r="C99">
        <f>B70*C98</f>
        <v>277106.3</v>
      </c>
      <c r="D99" t="e">
        <f>A70*D98</f>
        <v>#VALUE!</v>
      </c>
      <c r="E99" t="e">
        <f>#REF!*E98</f>
        <v>#REF!</v>
      </c>
      <c r="F99" t="e">
        <f>A70*F98</f>
        <v>#VALUE!</v>
      </c>
      <c r="G99" t="e">
        <f>#REF!*G98</f>
        <v>#REF!</v>
      </c>
      <c r="H99">
        <f>C70*H98</f>
        <v>0</v>
      </c>
      <c r="I99">
        <f>B70*I98</f>
        <v>260732.59999999998</v>
      </c>
      <c r="J99" t="e">
        <f>F69*J98</f>
        <v>#VALUE!</v>
      </c>
      <c r="K99">
        <f>B70*K98</f>
        <v>189552.19999999998</v>
      </c>
      <c r="L99">
        <f>E69*L98</f>
        <v>0</v>
      </c>
    </row>
    <row r="100" spans="1:12" x14ac:dyDescent="0.2">
      <c r="A100" s="78" t="s">
        <v>570</v>
      </c>
      <c r="B100">
        <v>1224.53</v>
      </c>
      <c r="C100">
        <v>1253.01</v>
      </c>
      <c r="D100">
        <f t="shared" ref="D100:K100" si="42">827.93+172.49</f>
        <v>1000.42</v>
      </c>
      <c r="E100">
        <f t="shared" si="42"/>
        <v>1000.42</v>
      </c>
      <c r="F100">
        <f t="shared" si="42"/>
        <v>1000.42</v>
      </c>
      <c r="G100">
        <f t="shared" si="42"/>
        <v>1000.42</v>
      </c>
      <c r="H100">
        <v>1073.07</v>
      </c>
      <c r="I100">
        <v>1073.07</v>
      </c>
      <c r="J100">
        <v>1073.07</v>
      </c>
      <c r="K100">
        <f t="shared" si="42"/>
        <v>1000.42</v>
      </c>
      <c r="L100">
        <v>1091.3699999999999</v>
      </c>
    </row>
    <row r="101" spans="1:12" x14ac:dyDescent="0.2">
      <c r="B101">
        <f>B71*B100</f>
        <v>203271.97999999998</v>
      </c>
      <c r="C101">
        <f>B71*C100</f>
        <v>207999.66</v>
      </c>
      <c r="D101" t="e">
        <f>A71*D100</f>
        <v>#VALUE!</v>
      </c>
      <c r="E101" t="e">
        <f>#REF!*E100</f>
        <v>#REF!</v>
      </c>
      <c r="F101" t="e">
        <f>A71*F100</f>
        <v>#VALUE!</v>
      </c>
      <c r="G101" t="e">
        <f>#REF!*G100</f>
        <v>#REF!</v>
      </c>
      <c r="H101">
        <f>C71*H100</f>
        <v>0</v>
      </c>
      <c r="I101">
        <f>B71*I100</f>
        <v>178129.62</v>
      </c>
      <c r="J101">
        <f>F70*J100</f>
        <v>0</v>
      </c>
      <c r="K101">
        <f>B71*K100</f>
        <v>166069.72</v>
      </c>
      <c r="L101">
        <f>E70*L100</f>
        <v>0</v>
      </c>
    </row>
    <row r="102" spans="1:12" x14ac:dyDescent="0.2">
      <c r="A102" s="78" t="s">
        <v>571</v>
      </c>
      <c r="B102">
        <v>1171.55</v>
      </c>
      <c r="C102">
        <v>1198.79</v>
      </c>
      <c r="D102">
        <f t="shared" ref="D102:K102" si="43">920.75+172.49</f>
        <v>1093.24</v>
      </c>
      <c r="E102">
        <f t="shared" si="43"/>
        <v>1093.24</v>
      </c>
      <c r="F102">
        <f t="shared" si="43"/>
        <v>1093.24</v>
      </c>
      <c r="G102">
        <f t="shared" si="43"/>
        <v>1093.24</v>
      </c>
      <c r="H102">
        <v>1091.78</v>
      </c>
      <c r="I102">
        <v>1091.78</v>
      </c>
      <c r="J102">
        <v>1091.78</v>
      </c>
      <c r="K102">
        <f t="shared" si="43"/>
        <v>1093.24</v>
      </c>
      <c r="L102">
        <v>1110.4000000000001</v>
      </c>
    </row>
    <row r="103" spans="1:12" x14ac:dyDescent="0.2">
      <c r="B103">
        <f>B72*B102</f>
        <v>356151.2</v>
      </c>
      <c r="C103">
        <f>B72*C102</f>
        <v>364432.16</v>
      </c>
      <c r="D103" t="e">
        <f>#REF!*D102</f>
        <v>#REF!</v>
      </c>
      <c r="E103" t="e">
        <f>#REF!*E102</f>
        <v>#REF!</v>
      </c>
      <c r="F103" t="e">
        <f>#REF!*F102</f>
        <v>#REF!</v>
      </c>
      <c r="G103" t="e">
        <f>#REF!*G102</f>
        <v>#REF!</v>
      </c>
      <c r="H103">
        <f>B71*H102</f>
        <v>181235.47999999998</v>
      </c>
      <c r="I103" t="e">
        <f>#REF!*I102</f>
        <v>#REF!</v>
      </c>
      <c r="J103">
        <f>F71*J102</f>
        <v>0</v>
      </c>
      <c r="K103" t="e">
        <f>#REF!*K102</f>
        <v>#REF!</v>
      </c>
      <c r="L103">
        <f>E71*L102</f>
        <v>0</v>
      </c>
    </row>
    <row r="105" spans="1:12" x14ac:dyDescent="0.2">
      <c r="B105">
        <f>B99+B101+B103</f>
        <v>830234.38</v>
      </c>
      <c r="C105">
        <f>C99+C101+C103</f>
        <v>849538.11999999988</v>
      </c>
      <c r="D105" t="e">
        <f>D99+D101+D103</f>
        <v>#VALUE!</v>
      </c>
      <c r="E105" t="e">
        <f t="shared" ref="E105" si="44">E99+E101+E103</f>
        <v>#REF!</v>
      </c>
      <c r="F105" t="e">
        <f t="shared" ref="F105:L105" si="45">F99+F101+F103</f>
        <v>#VALUE!</v>
      </c>
      <c r="G105" t="e">
        <f t="shared" si="45"/>
        <v>#REF!</v>
      </c>
      <c r="H105">
        <f>H99+H101+H103</f>
        <v>181235.47999999998</v>
      </c>
      <c r="I105" t="e">
        <f>I99+I101+I103</f>
        <v>#REF!</v>
      </c>
      <c r="J105" t="e">
        <f t="shared" si="45"/>
        <v>#VALUE!</v>
      </c>
      <c r="K105" t="e">
        <f t="shared" si="45"/>
        <v>#REF!</v>
      </c>
      <c r="L105">
        <f t="shared" si="45"/>
        <v>0</v>
      </c>
    </row>
    <row r="106" spans="1:12" x14ac:dyDescent="0.2">
      <c r="B106">
        <f>B105/B69</f>
        <v>1295.2174414976598</v>
      </c>
      <c r="C106">
        <f>C105/B69</f>
        <v>1325.3324804992199</v>
      </c>
      <c r="D106" t="e">
        <f>D105/A69</f>
        <v>#VALUE!</v>
      </c>
      <c r="E106" t="e">
        <f>E105/#REF!</f>
        <v>#REF!</v>
      </c>
      <c r="F106" t="e">
        <f>F105/A69</f>
        <v>#VALUE!</v>
      </c>
      <c r="G106" t="e">
        <f>G105/#REF!</f>
        <v>#REF!</v>
      </c>
      <c r="H106" t="e">
        <f>H105/C69</f>
        <v>#DIV/0!</v>
      </c>
      <c r="I106" t="e">
        <f>I105/B69</f>
        <v>#REF!</v>
      </c>
      <c r="J106" t="e">
        <f>J105/F68</f>
        <v>#VALUE!</v>
      </c>
      <c r="K106" t="e">
        <f>K105/B69</f>
        <v>#REF!</v>
      </c>
      <c r="L106" t="e">
        <f>L105/E68</f>
        <v>#DIV/0!</v>
      </c>
    </row>
  </sheetData>
  <printOptions horizontalCentered="1"/>
  <pageMargins left="0.17" right="0" top="1.06" bottom="0.41" header="0.65" footer="0.05"/>
  <pageSetup scale="70" orientation="landscape" r:id="rId1"/>
  <headerFooter alignWithMargins="0">
    <oddHeader>&amp;C&amp;"Calibri,Bold"&amp;12CITY OF ALLEN
TPA SERVICES RFP RESULTS</oddHeader>
  </headerFooter>
  <rowBreaks count="1" manualBreakCount="1">
    <brk id="72" max="4" man="1"/>
  </rowBreak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L76"/>
  <sheetViews>
    <sheetView view="pageBreakPreview" topLeftCell="A15" zoomScale="60" zoomScaleNormal="100" workbookViewId="0">
      <selection activeCell="D15" sqref="D15:D57"/>
    </sheetView>
  </sheetViews>
  <sheetFormatPr defaultColWidth="8.85546875" defaultRowHeight="12.75" x14ac:dyDescent="0.2"/>
  <cols>
    <col min="1" max="1" width="53.140625" customWidth="1"/>
    <col min="2" max="2" width="17" customWidth="1"/>
    <col min="3" max="3" width="15.42578125" customWidth="1"/>
    <col min="4" max="4" width="16.140625" customWidth="1"/>
    <col min="5" max="6" width="16" hidden="1" customWidth="1"/>
    <col min="7" max="7" width="24.42578125" hidden="1" customWidth="1"/>
    <col min="8" max="8" width="16.7109375" hidden="1" customWidth="1"/>
    <col min="9" max="9" width="16.28515625" hidden="1" customWidth="1"/>
    <col min="10" max="10" width="15.42578125" hidden="1" customWidth="1"/>
  </cols>
  <sheetData>
    <row r="1" spans="1:11" ht="47.25" hidden="1" x14ac:dyDescent="0.2">
      <c r="A1" s="498" t="s">
        <v>327</v>
      </c>
      <c r="B1" s="498" t="s">
        <v>130</v>
      </c>
      <c r="C1" s="498" t="s">
        <v>130</v>
      </c>
      <c r="D1" s="498" t="s">
        <v>130</v>
      </c>
      <c r="E1" s="498" t="s">
        <v>130</v>
      </c>
      <c r="F1" s="485" t="s">
        <v>337</v>
      </c>
      <c r="G1" s="498" t="s">
        <v>130</v>
      </c>
      <c r="H1" s="498" t="s">
        <v>130</v>
      </c>
      <c r="J1" s="498" t="s">
        <v>130</v>
      </c>
    </row>
    <row r="2" spans="1:11" ht="15.75" hidden="1" x14ac:dyDescent="0.2">
      <c r="A2" s="497" t="s">
        <v>328</v>
      </c>
      <c r="B2" s="507">
        <v>0.99099999999999999</v>
      </c>
      <c r="C2" s="507">
        <v>0.99099999999999999</v>
      </c>
      <c r="D2" s="507">
        <v>0.99099999999999999</v>
      </c>
      <c r="E2" s="507">
        <v>0.99099999999999999</v>
      </c>
      <c r="F2" s="499">
        <v>0.999</v>
      </c>
      <c r="G2" s="507">
        <v>0.99099999999999999</v>
      </c>
      <c r="H2" s="507">
        <v>0.99099999999999999</v>
      </c>
      <c r="J2" s="507">
        <v>0.99099999999999999</v>
      </c>
    </row>
    <row r="3" spans="1:11" ht="15.75" hidden="1" x14ac:dyDescent="0.2">
      <c r="A3" s="497" t="s">
        <v>329</v>
      </c>
      <c r="B3" s="507">
        <v>0.995</v>
      </c>
      <c r="C3" s="507">
        <v>0.995</v>
      </c>
      <c r="D3" s="507">
        <v>0.995</v>
      </c>
      <c r="E3" s="966">
        <v>0.995</v>
      </c>
      <c r="F3" s="1052">
        <v>0.995</v>
      </c>
      <c r="G3" s="507">
        <v>0.995</v>
      </c>
      <c r="H3" s="966">
        <v>0.995</v>
      </c>
      <c r="I3" s="1009"/>
      <c r="J3" s="966">
        <v>0.995</v>
      </c>
      <c r="K3" s="1009"/>
    </row>
    <row r="4" spans="1:11" ht="15.75" hidden="1" x14ac:dyDescent="0.2">
      <c r="A4" s="497" t="s">
        <v>330</v>
      </c>
      <c r="B4" s="507">
        <v>0.85699999999999998</v>
      </c>
      <c r="C4" s="507">
        <v>0.85699999999999998</v>
      </c>
      <c r="D4" s="507">
        <v>0.85699999999999998</v>
      </c>
      <c r="E4" s="966">
        <v>0.85699999999999998</v>
      </c>
      <c r="F4" s="1052">
        <v>0.91</v>
      </c>
      <c r="G4" s="507">
        <v>0.85699999999999998</v>
      </c>
      <c r="H4" s="966">
        <v>0.85699999999999998</v>
      </c>
      <c r="I4" s="1009"/>
      <c r="J4" s="966">
        <v>0.85699999999999998</v>
      </c>
      <c r="K4" s="1009"/>
    </row>
    <row r="5" spans="1:11" ht="31.5" hidden="1" x14ac:dyDescent="0.2">
      <c r="A5" s="498" t="s">
        <v>327</v>
      </c>
      <c r="B5" s="498"/>
      <c r="C5" s="498"/>
      <c r="D5" s="498"/>
      <c r="E5" s="967"/>
      <c r="F5" s="1053" t="s">
        <v>338</v>
      </c>
      <c r="G5" s="498"/>
      <c r="H5" s="967"/>
      <c r="I5" s="1009"/>
      <c r="J5" s="967"/>
      <c r="K5" s="1009"/>
    </row>
    <row r="6" spans="1:11" ht="15.75" hidden="1" x14ac:dyDescent="0.2">
      <c r="A6" s="497" t="s">
        <v>328</v>
      </c>
      <c r="B6" s="497"/>
      <c r="C6" s="497"/>
      <c r="D6" s="497"/>
      <c r="E6" s="968"/>
      <c r="F6" s="1052">
        <v>0.98899999999999999</v>
      </c>
      <c r="G6" s="497"/>
      <c r="H6" s="968"/>
      <c r="I6" s="1009"/>
      <c r="J6" s="968"/>
      <c r="K6" s="1009"/>
    </row>
    <row r="7" spans="1:11" ht="15.75" hidden="1" x14ac:dyDescent="0.2">
      <c r="A7" s="497" t="s">
        <v>329</v>
      </c>
      <c r="B7" s="497"/>
      <c r="C7" s="497"/>
      <c r="D7" s="497"/>
      <c r="E7" s="968"/>
      <c r="F7" s="1052">
        <v>0.99299999999999999</v>
      </c>
      <c r="G7" s="497"/>
      <c r="H7" s="968"/>
      <c r="I7" s="1009"/>
      <c r="J7" s="968"/>
      <c r="K7" s="1009"/>
    </row>
    <row r="8" spans="1:11" ht="15.75" hidden="1" x14ac:dyDescent="0.2">
      <c r="A8" s="497" t="s">
        <v>330</v>
      </c>
      <c r="B8" s="497"/>
      <c r="C8" s="497"/>
      <c r="D8" s="497"/>
      <c r="E8" s="968"/>
      <c r="F8" s="1052">
        <v>0.90800000000000003</v>
      </c>
      <c r="G8" s="497"/>
      <c r="H8" s="968"/>
      <c r="I8" s="1009"/>
      <c r="J8" s="968"/>
      <c r="K8" s="1009"/>
    </row>
    <row r="9" spans="1:11" ht="94.5" hidden="1" x14ac:dyDescent="0.2">
      <c r="A9" s="498" t="s">
        <v>327</v>
      </c>
      <c r="B9" s="498"/>
      <c r="C9" s="498"/>
      <c r="D9" s="498"/>
      <c r="E9" s="967"/>
      <c r="F9" s="1053" t="s">
        <v>339</v>
      </c>
      <c r="G9" s="498"/>
      <c r="H9" s="967"/>
      <c r="I9" s="1009"/>
      <c r="J9" s="967"/>
      <c r="K9" s="1009"/>
    </row>
    <row r="10" spans="1:11" ht="15.75" hidden="1" x14ac:dyDescent="0.2">
      <c r="A10" s="497" t="s">
        <v>328</v>
      </c>
      <c r="B10" s="497"/>
      <c r="C10" s="497"/>
      <c r="D10" s="497"/>
      <c r="E10" s="968"/>
      <c r="F10" s="1052">
        <v>0.99399999999999999</v>
      </c>
      <c r="G10" s="497"/>
      <c r="H10" s="968"/>
      <c r="I10" s="1009"/>
      <c r="J10" s="968"/>
      <c r="K10" s="1009"/>
    </row>
    <row r="11" spans="1:11" ht="15.75" hidden="1" x14ac:dyDescent="0.2">
      <c r="A11" s="497" t="s">
        <v>329</v>
      </c>
      <c r="B11" s="497"/>
      <c r="C11" s="497"/>
      <c r="D11" s="497"/>
      <c r="E11" s="968"/>
      <c r="F11" s="1052">
        <v>0.99399999999999999</v>
      </c>
      <c r="G11" s="497"/>
      <c r="H11" s="968"/>
      <c r="I11" s="1009"/>
      <c r="J11" s="968"/>
      <c r="K11" s="1009"/>
    </row>
    <row r="12" spans="1:11" ht="15.75" hidden="1" x14ac:dyDescent="0.2">
      <c r="A12" s="497" t="s">
        <v>330</v>
      </c>
      <c r="B12" s="497"/>
      <c r="C12" s="497"/>
      <c r="D12" s="497"/>
      <c r="E12" s="968"/>
      <c r="F12" s="1052">
        <v>0.92600000000000005</v>
      </c>
      <c r="G12" s="497"/>
      <c r="H12" s="968"/>
      <c r="I12" s="1009"/>
      <c r="J12" s="968"/>
      <c r="K12" s="1009"/>
    </row>
    <row r="13" spans="1:11" hidden="1" x14ac:dyDescent="0.2">
      <c r="A13" s="584"/>
      <c r="B13" s="584"/>
      <c r="C13" s="584"/>
      <c r="D13" s="584"/>
      <c r="E13" s="969"/>
      <c r="F13" s="969"/>
      <c r="G13" s="584"/>
      <c r="H13" s="969"/>
      <c r="I13" s="1009"/>
      <c r="J13" s="969"/>
      <c r="K13" s="1009"/>
    </row>
    <row r="14" spans="1:11" ht="13.5" thickBot="1" x14ac:dyDescent="0.25">
      <c r="A14" s="804" t="s">
        <v>564</v>
      </c>
      <c r="B14" s="803" t="s">
        <v>108</v>
      </c>
      <c r="C14" s="803" t="s">
        <v>108</v>
      </c>
      <c r="D14" s="803" t="s">
        <v>108</v>
      </c>
      <c r="E14" s="803"/>
      <c r="F14" s="803"/>
      <c r="G14" s="495"/>
      <c r="H14" s="495"/>
      <c r="J14" s="495"/>
    </row>
    <row r="15" spans="1:11" ht="16.5" thickBot="1" x14ac:dyDescent="0.25">
      <c r="A15" s="670"/>
      <c r="B15" s="1253" t="s">
        <v>578</v>
      </c>
      <c r="C15" s="1253" t="s">
        <v>74</v>
      </c>
      <c r="D15" s="1254" t="s">
        <v>598</v>
      </c>
      <c r="E15" s="1284"/>
      <c r="F15" s="1253" t="s">
        <v>486</v>
      </c>
      <c r="G15" s="1253" t="s">
        <v>534</v>
      </c>
      <c r="H15" s="1253" t="s">
        <v>541</v>
      </c>
      <c r="I15" s="1253" t="s">
        <v>91</v>
      </c>
      <c r="J15" s="1254" t="s">
        <v>87</v>
      </c>
    </row>
    <row r="16" spans="1:11" ht="31.5" x14ac:dyDescent="0.2">
      <c r="A16" s="691" t="s">
        <v>485</v>
      </c>
      <c r="B16" s="1241" t="s">
        <v>131</v>
      </c>
      <c r="C16" s="1241" t="s">
        <v>497</v>
      </c>
      <c r="D16" s="1255" t="s">
        <v>542</v>
      </c>
      <c r="E16" s="1285"/>
      <c r="F16" s="1241" t="s">
        <v>497</v>
      </c>
      <c r="G16" s="603" t="s">
        <v>534</v>
      </c>
      <c r="H16" s="603" t="s">
        <v>542</v>
      </c>
      <c r="I16" s="1241" t="s">
        <v>638</v>
      </c>
      <c r="J16" s="1255" t="s">
        <v>138</v>
      </c>
    </row>
    <row r="17" spans="1:10" ht="15.75" x14ac:dyDescent="0.2">
      <c r="A17" s="679" t="s">
        <v>670</v>
      </c>
      <c r="B17" s="1242">
        <v>0.98160000000000003</v>
      </c>
      <c r="C17" s="1242">
        <v>0.96220000000000006</v>
      </c>
      <c r="D17" s="1006">
        <v>0.95</v>
      </c>
      <c r="E17" s="1285"/>
      <c r="F17" s="1242">
        <v>0.91800000000000004</v>
      </c>
      <c r="G17" s="1242">
        <v>0.40300000000000002</v>
      </c>
      <c r="H17" s="1242">
        <v>0.95</v>
      </c>
      <c r="I17" s="1242">
        <v>0.96150000000000002</v>
      </c>
      <c r="J17" s="1006">
        <v>0.92</v>
      </c>
    </row>
    <row r="18" spans="1:10" ht="15.75" x14ac:dyDescent="0.2">
      <c r="A18" s="679" t="s">
        <v>332</v>
      </c>
      <c r="B18" s="1242">
        <f>B47/B55</f>
        <v>0.93840459017993749</v>
      </c>
      <c r="C18" s="1242">
        <f t="shared" ref="C18:D18" si="0">C47/C55</f>
        <v>0.93433008557023922</v>
      </c>
      <c r="D18" s="1006">
        <f t="shared" si="0"/>
        <v>0.93900173599809034</v>
      </c>
      <c r="E18" s="1285"/>
      <c r="F18" s="1242">
        <v>0.89500000000000002</v>
      </c>
      <c r="G18" s="1242">
        <v>0.371</v>
      </c>
      <c r="H18" s="1242">
        <v>0.88</v>
      </c>
      <c r="I18" s="1242">
        <v>0.85799999999999998</v>
      </c>
      <c r="J18" s="1006">
        <v>0.83899999999999997</v>
      </c>
    </row>
    <row r="19" spans="1:10" ht="31.5" hidden="1" x14ac:dyDescent="0.2">
      <c r="A19" s="680" t="s">
        <v>335</v>
      </c>
      <c r="B19" s="603" t="str">
        <f t="shared" ref="B19" si="1">B16</f>
        <v>Choice Plus</v>
      </c>
      <c r="C19" s="603" t="str">
        <f>C16</f>
        <v>Choice POS II</v>
      </c>
      <c r="D19" s="1256" t="str">
        <f t="shared" ref="D19:G19" si="2">D16</f>
        <v>Aetna Signature</v>
      </c>
      <c r="E19" s="1285"/>
      <c r="F19" s="603" t="str">
        <f>F16</f>
        <v>Choice POS II</v>
      </c>
      <c r="G19" s="603" t="str">
        <f t="shared" si="2"/>
        <v>S&amp;W</v>
      </c>
      <c r="H19" s="603" t="str">
        <f t="shared" ref="H19:J19" si="3">H16</f>
        <v>Aetna Signature</v>
      </c>
      <c r="I19" s="603" t="str">
        <f>I16</f>
        <v>OAP</v>
      </c>
      <c r="J19" s="1256" t="str">
        <f t="shared" si="3"/>
        <v>Blue Choice</v>
      </c>
    </row>
    <row r="20" spans="1:10" ht="15.75" hidden="1" x14ac:dyDescent="0.2">
      <c r="A20" s="679" t="s">
        <v>331</v>
      </c>
      <c r="B20" s="1243"/>
      <c r="C20" s="1242"/>
      <c r="D20" s="1006">
        <v>0.97299999999999998</v>
      </c>
      <c r="E20" s="1285"/>
      <c r="F20" s="1244"/>
      <c r="G20" s="1242"/>
      <c r="H20" s="1242"/>
      <c r="I20" s="1242">
        <v>0.99539999999999995</v>
      </c>
      <c r="J20" s="1006"/>
    </row>
    <row r="21" spans="1:10" ht="16.5" hidden="1" thickBot="1" x14ac:dyDescent="0.25">
      <c r="A21" s="681" t="s">
        <v>332</v>
      </c>
      <c r="B21" s="1243"/>
      <c r="C21" s="1242"/>
      <c r="D21" s="1006">
        <v>0.99099999999999999</v>
      </c>
      <c r="E21" s="1285"/>
      <c r="F21" s="1244"/>
      <c r="G21" s="1242"/>
      <c r="H21" s="1242"/>
      <c r="I21" s="1244">
        <v>0.70540000000000003</v>
      </c>
      <c r="J21" s="1006"/>
    </row>
    <row r="22" spans="1:10" ht="15.75" hidden="1" x14ac:dyDescent="0.2">
      <c r="A22" s="682"/>
      <c r="B22" s="1245"/>
      <c r="C22" s="1245"/>
      <c r="D22" s="1257"/>
      <c r="E22" s="1285"/>
      <c r="F22" s="1245"/>
      <c r="G22" s="1245"/>
      <c r="H22" s="1245"/>
      <c r="I22" s="1245"/>
      <c r="J22" s="1257"/>
    </row>
    <row r="23" spans="1:10" ht="47.25" hidden="1" x14ac:dyDescent="0.2">
      <c r="A23" s="683" t="s">
        <v>333</v>
      </c>
      <c r="B23" s="485" t="s">
        <v>130</v>
      </c>
      <c r="C23" s="485" t="s">
        <v>130</v>
      </c>
      <c r="D23" s="1106" t="s">
        <v>130</v>
      </c>
      <c r="E23" s="1285"/>
      <c r="F23" s="485" t="s">
        <v>340</v>
      </c>
      <c r="G23" s="485" t="s">
        <v>130</v>
      </c>
      <c r="H23" s="485" t="s">
        <v>130</v>
      </c>
      <c r="I23" s="485" t="s">
        <v>130</v>
      </c>
      <c r="J23" s="1106" t="s">
        <v>130</v>
      </c>
    </row>
    <row r="24" spans="1:10" ht="15.75" hidden="1" x14ac:dyDescent="0.2">
      <c r="A24" s="679" t="s">
        <v>334</v>
      </c>
      <c r="B24" s="1246">
        <v>0.99099999999999999</v>
      </c>
      <c r="C24" s="1246">
        <v>0.99099999999999999</v>
      </c>
      <c r="D24" s="1007">
        <v>0.99099999999999999</v>
      </c>
      <c r="E24" s="1285"/>
      <c r="F24" s="1246">
        <v>0.98799999999999999</v>
      </c>
      <c r="G24" s="1246">
        <v>0.99099999999999999</v>
      </c>
      <c r="H24" s="1246">
        <v>0.99099999999999999</v>
      </c>
      <c r="I24" s="1246">
        <v>0.99099999999999999</v>
      </c>
      <c r="J24" s="1007">
        <v>0.99099999999999999</v>
      </c>
    </row>
    <row r="25" spans="1:10" ht="15.75" hidden="1" x14ac:dyDescent="0.2">
      <c r="A25" s="684"/>
      <c r="B25" s="1247"/>
      <c r="C25" s="1247"/>
      <c r="D25" s="1008"/>
      <c r="E25" s="1285"/>
      <c r="F25" s="1247"/>
      <c r="G25" s="1247"/>
      <c r="H25" s="1247"/>
      <c r="I25" s="1247"/>
      <c r="J25" s="1008"/>
    </row>
    <row r="26" spans="1:10" ht="47.25" hidden="1" x14ac:dyDescent="0.2">
      <c r="A26" s="680" t="s">
        <v>335</v>
      </c>
      <c r="B26" s="603" t="str">
        <f t="shared" ref="B26:D26" si="4">B23</f>
        <v>United Healthcare</v>
      </c>
      <c r="C26" s="603" t="str">
        <f>C23</f>
        <v>United Healthcare</v>
      </c>
      <c r="D26" s="1256" t="str">
        <f t="shared" si="4"/>
        <v>United Healthcare</v>
      </c>
      <c r="E26" s="1285"/>
      <c r="F26" s="603" t="str">
        <f>F23</f>
        <v>Aetna Pharmacy Management</v>
      </c>
      <c r="G26" s="603" t="str">
        <f t="shared" ref="G26" si="5">G23</f>
        <v>United Healthcare</v>
      </c>
      <c r="H26" s="603" t="str">
        <f t="shared" ref="H26:J26" si="6">H23</f>
        <v>United Healthcare</v>
      </c>
      <c r="I26" s="603" t="str">
        <f>I23</f>
        <v>United Healthcare</v>
      </c>
      <c r="J26" s="1256" t="str">
        <f t="shared" si="6"/>
        <v>United Healthcare</v>
      </c>
    </row>
    <row r="27" spans="1:10" ht="15.75" hidden="1" x14ac:dyDescent="0.2">
      <c r="A27" s="679" t="s">
        <v>331</v>
      </c>
      <c r="B27" s="1243"/>
      <c r="C27" s="1242"/>
      <c r="D27" s="1006">
        <v>0.97299999999999998</v>
      </c>
      <c r="E27" s="1285"/>
      <c r="F27" s="1244"/>
      <c r="G27" s="1242"/>
      <c r="H27" s="1242"/>
      <c r="I27" s="1242">
        <v>0.99539999999999995</v>
      </c>
      <c r="J27" s="1006"/>
    </row>
    <row r="28" spans="1:10" ht="16.5" hidden="1" thickBot="1" x14ac:dyDescent="0.25">
      <c r="A28" s="681" t="s">
        <v>332</v>
      </c>
      <c r="B28" s="1243"/>
      <c r="C28" s="1242"/>
      <c r="D28" s="1006">
        <v>0.99099999999999999</v>
      </c>
      <c r="E28" s="1285"/>
      <c r="F28" s="1244"/>
      <c r="G28" s="1242"/>
      <c r="H28" s="1242"/>
      <c r="I28" s="1244">
        <v>0.70540000000000003</v>
      </c>
      <c r="J28" s="1006"/>
    </row>
    <row r="29" spans="1:10" ht="15.75" hidden="1" x14ac:dyDescent="0.25">
      <c r="A29" s="690"/>
      <c r="B29" s="611"/>
      <c r="C29" s="1246">
        <v>0.96</v>
      </c>
      <c r="D29" s="1291"/>
      <c r="E29" s="1285"/>
      <c r="F29" s="611"/>
      <c r="G29" s="736"/>
      <c r="H29" s="1246">
        <v>0.96</v>
      </c>
      <c r="I29" s="611"/>
      <c r="J29" s="1007">
        <v>0.96</v>
      </c>
    </row>
    <row r="30" spans="1:10" ht="31.5" hidden="1" x14ac:dyDescent="0.25">
      <c r="A30" s="685" t="s">
        <v>367</v>
      </c>
      <c r="B30" s="485" t="s">
        <v>130</v>
      </c>
      <c r="C30" s="1246">
        <v>0.96</v>
      </c>
      <c r="D30" s="1106" t="s">
        <v>130</v>
      </c>
      <c r="E30" s="1285"/>
      <c r="F30" s="611"/>
      <c r="G30" s="485" t="s">
        <v>130</v>
      </c>
      <c r="H30" s="1246">
        <v>0.96</v>
      </c>
      <c r="I30" s="485" t="s">
        <v>130</v>
      </c>
      <c r="J30" s="1007">
        <v>0.96</v>
      </c>
    </row>
    <row r="31" spans="1:10" ht="15.75" hidden="1" x14ac:dyDescent="0.25">
      <c r="A31" s="679" t="s">
        <v>366</v>
      </c>
      <c r="B31" s="1248">
        <v>0.98799999999999999</v>
      </c>
      <c r="C31" s="1246">
        <v>0.96</v>
      </c>
      <c r="D31" s="1292">
        <v>0.98799999999999999</v>
      </c>
      <c r="E31" s="1285"/>
      <c r="F31" s="611"/>
      <c r="G31" s="1248">
        <v>0.98799999999999999</v>
      </c>
      <c r="H31" s="1246">
        <v>0.96</v>
      </c>
      <c r="I31" s="1248">
        <v>0.98799999999999999</v>
      </c>
      <c r="J31" s="1007">
        <v>0.96</v>
      </c>
    </row>
    <row r="32" spans="1:10" ht="15.75" hidden="1" x14ac:dyDescent="0.25">
      <c r="A32" s="679" t="s">
        <v>329</v>
      </c>
      <c r="B32" s="1248">
        <v>0.95599999999999996</v>
      </c>
      <c r="C32" s="1246">
        <v>0.96</v>
      </c>
      <c r="D32" s="1292">
        <v>0.95599999999999996</v>
      </c>
      <c r="E32" s="1285"/>
      <c r="F32" s="611"/>
      <c r="G32" s="1248">
        <v>0.95599999999999996</v>
      </c>
      <c r="H32" s="1246">
        <v>0.96</v>
      </c>
      <c r="I32" s="1248">
        <v>0.95599999999999996</v>
      </c>
      <c r="J32" s="1007">
        <v>0.96</v>
      </c>
    </row>
    <row r="33" spans="1:12" ht="15.75" hidden="1" x14ac:dyDescent="0.25">
      <c r="A33" s="684"/>
      <c r="B33" s="611"/>
      <c r="C33" s="1246">
        <v>0.96</v>
      </c>
      <c r="D33" s="1291"/>
      <c r="E33" s="1285"/>
      <c r="F33" s="611"/>
      <c r="G33" s="736"/>
      <c r="H33" s="1246">
        <v>0.96</v>
      </c>
      <c r="I33" s="611"/>
      <c r="J33" s="1007">
        <v>0.96</v>
      </c>
    </row>
    <row r="34" spans="1:12" ht="31.5" hidden="1" x14ac:dyDescent="0.25">
      <c r="A34" s="685" t="s">
        <v>368</v>
      </c>
      <c r="B34" s="485" t="s">
        <v>130</v>
      </c>
      <c r="C34" s="1246">
        <v>0.96</v>
      </c>
      <c r="D34" s="1106" t="s">
        <v>130</v>
      </c>
      <c r="E34" s="1285"/>
      <c r="F34" s="611"/>
      <c r="G34" s="485" t="s">
        <v>130</v>
      </c>
      <c r="H34" s="1246">
        <v>0.96</v>
      </c>
      <c r="I34" s="485" t="s">
        <v>130</v>
      </c>
      <c r="J34" s="1007">
        <v>0.96</v>
      </c>
    </row>
    <row r="35" spans="1:12" ht="15.75" hidden="1" x14ac:dyDescent="0.25">
      <c r="A35" s="679" t="s">
        <v>366</v>
      </c>
      <c r="B35" s="1248">
        <v>0.95199999999999996</v>
      </c>
      <c r="C35" s="1246">
        <v>0.96</v>
      </c>
      <c r="D35" s="1292">
        <v>0.95199999999999996</v>
      </c>
      <c r="E35" s="1285"/>
      <c r="F35" s="611"/>
      <c r="G35" s="1248">
        <v>0.95199999999999996</v>
      </c>
      <c r="H35" s="1246">
        <v>0.96</v>
      </c>
      <c r="I35" s="1248">
        <v>0.95199999999999996</v>
      </c>
      <c r="J35" s="1007">
        <v>0.96</v>
      </c>
    </row>
    <row r="36" spans="1:12" ht="15.75" hidden="1" x14ac:dyDescent="0.25">
      <c r="A36" s="679" t="s">
        <v>329</v>
      </c>
      <c r="B36" s="1246">
        <v>0.93</v>
      </c>
      <c r="C36" s="1246">
        <v>0.96</v>
      </c>
      <c r="D36" s="1007">
        <v>0.93</v>
      </c>
      <c r="E36" s="1285"/>
      <c r="F36" s="611"/>
      <c r="G36" s="1246">
        <v>0.93</v>
      </c>
      <c r="H36" s="1246">
        <v>0.96</v>
      </c>
      <c r="I36" s="1246">
        <v>0.93</v>
      </c>
      <c r="J36" s="1007">
        <v>0.96</v>
      </c>
    </row>
    <row r="37" spans="1:12" ht="15.75" hidden="1" x14ac:dyDescent="0.25">
      <c r="A37" s="690"/>
      <c r="B37" s="611"/>
      <c r="C37" s="1246">
        <v>0.96</v>
      </c>
      <c r="D37" s="1291"/>
      <c r="E37" s="1285"/>
      <c r="F37" s="611"/>
      <c r="G37" s="736"/>
      <c r="H37" s="1246">
        <v>0.96</v>
      </c>
      <c r="I37" s="611"/>
      <c r="J37" s="1007">
        <v>0.96</v>
      </c>
    </row>
    <row r="38" spans="1:12" ht="31.5" hidden="1" x14ac:dyDescent="0.25">
      <c r="A38" s="685" t="s">
        <v>369</v>
      </c>
      <c r="B38" s="485" t="s">
        <v>130</v>
      </c>
      <c r="C38" s="1246">
        <v>0.96</v>
      </c>
      <c r="D38" s="1106" t="s">
        <v>130</v>
      </c>
      <c r="E38" s="1285"/>
      <c r="F38" s="611"/>
      <c r="G38" s="485" t="s">
        <v>130</v>
      </c>
      <c r="H38" s="1246">
        <v>0.96</v>
      </c>
      <c r="I38" s="485" t="s">
        <v>130</v>
      </c>
      <c r="J38" s="1007">
        <v>0.96</v>
      </c>
    </row>
    <row r="39" spans="1:12" ht="15.75" hidden="1" x14ac:dyDescent="0.25">
      <c r="A39" s="679" t="s">
        <v>366</v>
      </c>
      <c r="B39" s="1248">
        <v>0.98299999999999998</v>
      </c>
      <c r="C39" s="1246">
        <v>0.96</v>
      </c>
      <c r="D39" s="1292">
        <v>0.98299999999999998</v>
      </c>
      <c r="E39" s="1285"/>
      <c r="F39" s="611"/>
      <c r="G39" s="1248">
        <v>0.98299999999999998</v>
      </c>
      <c r="H39" s="1246">
        <v>0.96</v>
      </c>
      <c r="I39" s="1248">
        <v>0.98299999999999998</v>
      </c>
      <c r="J39" s="1007">
        <v>0.96</v>
      </c>
    </row>
    <row r="40" spans="1:12" ht="15.75" hidden="1" x14ac:dyDescent="0.25">
      <c r="A40" s="679" t="s">
        <v>329</v>
      </c>
      <c r="B40" s="1246">
        <v>0.96599999999999997</v>
      </c>
      <c r="C40" s="1246">
        <v>0.96</v>
      </c>
      <c r="D40" s="1007">
        <v>0.96599999999999997</v>
      </c>
      <c r="E40" s="1285"/>
      <c r="F40" s="611"/>
      <c r="G40" s="1246">
        <v>0.96599999999999997</v>
      </c>
      <c r="H40" s="1246">
        <v>0.96</v>
      </c>
      <c r="I40" s="1246">
        <v>0.96599999999999997</v>
      </c>
      <c r="J40" s="1007">
        <v>0.96</v>
      </c>
    </row>
    <row r="41" spans="1:12" ht="31.5" x14ac:dyDescent="0.2">
      <c r="A41" s="691" t="s">
        <v>521</v>
      </c>
      <c r="B41" s="1241" t="s">
        <v>131</v>
      </c>
      <c r="C41" s="1241" t="str">
        <f>C16</f>
        <v>Choice POS II</v>
      </c>
      <c r="D41" s="1255" t="s">
        <v>542</v>
      </c>
      <c r="E41" s="1285"/>
      <c r="F41" s="1241" t="s">
        <v>497</v>
      </c>
      <c r="G41" s="603" t="s">
        <v>534</v>
      </c>
      <c r="H41" s="603" t="s">
        <v>542</v>
      </c>
      <c r="I41" s="1241" t="s">
        <v>638</v>
      </c>
      <c r="J41" s="1255" t="str">
        <f>J16</f>
        <v>Blue Choice</v>
      </c>
    </row>
    <row r="42" spans="1:12" ht="15.75" x14ac:dyDescent="0.2">
      <c r="A42" s="679" t="s">
        <v>522</v>
      </c>
      <c r="B42" s="1242">
        <v>0.51500000000000001</v>
      </c>
      <c r="C42" s="1242">
        <v>0.53</v>
      </c>
      <c r="D42" s="1293" t="s">
        <v>373</v>
      </c>
      <c r="E42" s="1285"/>
      <c r="F42" s="1242">
        <v>0.49099999999999999</v>
      </c>
      <c r="G42" s="1242" t="s">
        <v>537</v>
      </c>
      <c r="H42" s="1242" t="s">
        <v>40</v>
      </c>
      <c r="I42" s="1242" t="s">
        <v>671</v>
      </c>
      <c r="J42" s="1006">
        <v>0.53900000000000003</v>
      </c>
    </row>
    <row r="43" spans="1:12" ht="15.75" x14ac:dyDescent="0.2">
      <c r="A43" s="679" t="s">
        <v>588</v>
      </c>
      <c r="B43" s="1242">
        <v>0.15</v>
      </c>
      <c r="C43" s="1242">
        <v>0.25</v>
      </c>
      <c r="D43" s="1293" t="s">
        <v>373</v>
      </c>
      <c r="E43" s="1285"/>
      <c r="F43" s="1242"/>
      <c r="G43" s="1242"/>
      <c r="H43" s="1242"/>
      <c r="I43" s="1242" t="s">
        <v>671</v>
      </c>
      <c r="J43" s="1006">
        <v>0.15</v>
      </c>
    </row>
    <row r="44" spans="1:12" ht="15.75" x14ac:dyDescent="0.2">
      <c r="A44" s="679" t="s">
        <v>599</v>
      </c>
      <c r="B44" s="1242">
        <f>B56/B55</f>
        <v>-0.52853892623241394</v>
      </c>
      <c r="C44" s="1242">
        <f t="shared" ref="C44:D44" si="7">C56/C55</f>
        <v>-0.54775092327108588</v>
      </c>
      <c r="D44" s="1006">
        <f t="shared" si="7"/>
        <v>-0.53679590480566419</v>
      </c>
      <c r="E44" s="1285"/>
      <c r="F44" s="1242" t="s">
        <v>373</v>
      </c>
      <c r="G44" s="1242" t="s">
        <v>538</v>
      </c>
      <c r="H44" s="1242">
        <v>0.50509999999999999</v>
      </c>
      <c r="I44" s="1242">
        <v>0.54900000000000004</v>
      </c>
      <c r="J44" s="1006">
        <v>0.56899999999999995</v>
      </c>
    </row>
    <row r="45" spans="1:12" ht="15.75" hidden="1" x14ac:dyDescent="0.25">
      <c r="A45" s="686" t="s">
        <v>539</v>
      </c>
      <c r="B45" s="1264"/>
      <c r="C45" s="1264"/>
      <c r="D45" s="1294"/>
      <c r="E45" s="1286"/>
      <c r="F45" s="1264"/>
      <c r="G45" s="1250" t="s">
        <v>535</v>
      </c>
      <c r="H45" s="1158"/>
      <c r="I45" s="1249"/>
      <c r="J45" s="1258"/>
    </row>
    <row r="46" spans="1:12" x14ac:dyDescent="0.2">
      <c r="A46" s="1295"/>
      <c r="B46" s="1265"/>
      <c r="C46" s="1265"/>
      <c r="D46" s="1296"/>
      <c r="E46" s="1287"/>
      <c r="F46" s="1265"/>
    </row>
    <row r="47" spans="1:12" ht="15.75" x14ac:dyDescent="0.25">
      <c r="A47" s="1297" t="s">
        <v>713</v>
      </c>
      <c r="B47" s="1266">
        <v>14919353</v>
      </c>
      <c r="C47" s="1266">
        <v>14854573</v>
      </c>
      <c r="D47" s="1298">
        <f>C47*1.005</f>
        <v>14928845.864999998</v>
      </c>
      <c r="E47" s="1288"/>
      <c r="F47" s="1266"/>
      <c r="K47" s="286"/>
    </row>
    <row r="48" spans="1:12" ht="15.75" x14ac:dyDescent="0.25">
      <c r="A48" s="1297" t="s">
        <v>714</v>
      </c>
      <c r="B48" s="1268">
        <f>B49-B47</f>
        <v>-7937010</v>
      </c>
      <c r="C48" s="1268">
        <f>C49-C47</f>
        <v>-8289410</v>
      </c>
      <c r="D48" s="1299">
        <f>C48*0.98</f>
        <v>-8123621.7999999998</v>
      </c>
      <c r="E48" s="1289"/>
      <c r="F48" s="1268"/>
      <c r="L48" s="286"/>
    </row>
    <row r="49" spans="1:10" ht="15.75" x14ac:dyDescent="0.25">
      <c r="A49" s="1297" t="s">
        <v>715</v>
      </c>
      <c r="B49" s="1266">
        <v>6982343</v>
      </c>
      <c r="C49" s="1266">
        <v>6565163</v>
      </c>
      <c r="D49" s="1298">
        <f>D48+D47</f>
        <v>6805224.0649999985</v>
      </c>
      <c r="E49" s="1288"/>
      <c r="F49" s="1266"/>
    </row>
    <row r="50" spans="1:10" ht="15.75" x14ac:dyDescent="0.25">
      <c r="A50" s="1300"/>
      <c r="B50" s="1267"/>
      <c r="C50" s="1267"/>
      <c r="D50" s="1301"/>
      <c r="E50" s="1290"/>
      <c r="F50" s="1267"/>
    </row>
    <row r="51" spans="1:10" ht="15.75" x14ac:dyDescent="0.25">
      <c r="A51" s="1297" t="s">
        <v>716</v>
      </c>
      <c r="B51" s="1266">
        <v>979283</v>
      </c>
      <c r="C51" s="1266">
        <f>65142+143104+178228+24302+443206+82898+107182</f>
        <v>1044062</v>
      </c>
      <c r="D51" s="1298">
        <f>D55-D47</f>
        <v>969789.13500000164</v>
      </c>
      <c r="E51" s="1288"/>
      <c r="F51" s="1266"/>
    </row>
    <row r="52" spans="1:10" ht="15.75" x14ac:dyDescent="0.25">
      <c r="A52" s="1297" t="s">
        <v>718</v>
      </c>
      <c r="B52" s="1268">
        <f>B53-B51</f>
        <v>-466038</v>
      </c>
      <c r="C52" s="1268">
        <f>C53-C51</f>
        <v>-419082</v>
      </c>
      <c r="D52" s="1299">
        <f>C52*0.98</f>
        <v>-410700.36</v>
      </c>
      <c r="E52" s="1289"/>
      <c r="F52" s="1268"/>
    </row>
    <row r="53" spans="1:10" ht="15.75" x14ac:dyDescent="0.25">
      <c r="A53" s="1297" t="s">
        <v>717</v>
      </c>
      <c r="B53" s="1266">
        <v>513245</v>
      </c>
      <c r="C53" s="1266">
        <f>44296+97311+114494+11356+207110+43231+107182</f>
        <v>624980</v>
      </c>
      <c r="D53" s="1298">
        <f>D51+D52</f>
        <v>559088.77500000165</v>
      </c>
      <c r="E53" s="1288"/>
      <c r="F53" s="1266"/>
    </row>
    <row r="54" spans="1:10" ht="15.75" x14ac:dyDescent="0.25">
      <c r="A54" s="1300"/>
      <c r="B54" s="1267"/>
      <c r="C54" s="1267"/>
      <c r="D54" s="1301"/>
      <c r="E54" s="1290"/>
      <c r="F54" s="1267"/>
    </row>
    <row r="55" spans="1:10" ht="15.75" x14ac:dyDescent="0.25">
      <c r="A55" s="1297" t="s">
        <v>712</v>
      </c>
      <c r="B55" s="1266">
        <f>B51+B47</f>
        <v>15898636</v>
      </c>
      <c r="C55" s="1266">
        <f>C47+C51</f>
        <v>15898635</v>
      </c>
      <c r="D55" s="1298">
        <f>C55</f>
        <v>15898635</v>
      </c>
      <c r="E55" s="1288"/>
      <c r="F55" s="1266"/>
    </row>
    <row r="56" spans="1:10" ht="15.75" x14ac:dyDescent="0.25">
      <c r="A56" s="1297" t="s">
        <v>719</v>
      </c>
      <c r="B56" s="1268">
        <f>B52+B48</f>
        <v>-8403048</v>
      </c>
      <c r="C56" s="1268">
        <f>C57-C55</f>
        <v>-8708492</v>
      </c>
      <c r="D56" s="1299">
        <f>D52+D48</f>
        <v>-8534322.1600000001</v>
      </c>
      <c r="E56" s="1289"/>
      <c r="F56" s="1268"/>
    </row>
    <row r="57" spans="1:10" ht="16.5" thickBot="1" x14ac:dyDescent="0.3">
      <c r="A57" s="1302" t="s">
        <v>720</v>
      </c>
      <c r="B57" s="1303">
        <f>B53+B49</f>
        <v>7495588</v>
      </c>
      <c r="C57" s="1303">
        <f>C53+C49</f>
        <v>7190143</v>
      </c>
      <c r="D57" s="1304">
        <f>D55+D56</f>
        <v>7364312.8399999999</v>
      </c>
      <c r="E57" s="1288"/>
      <c r="F57" s="1266"/>
    </row>
    <row r="58" spans="1:10" x14ac:dyDescent="0.2">
      <c r="C58" s="286"/>
      <c r="D58" s="286"/>
    </row>
    <row r="59" spans="1:10" ht="42" customHeight="1" x14ac:dyDescent="0.2">
      <c r="A59" s="1552" t="s">
        <v>711</v>
      </c>
      <c r="B59" s="1552"/>
      <c r="C59" s="1552"/>
      <c r="D59" s="1552"/>
      <c r="E59" s="649"/>
      <c r="F59" s="649"/>
      <c r="G59" s="1263"/>
      <c r="H59" s="1263"/>
      <c r="I59" s="1263"/>
      <c r="J59" s="1263"/>
    </row>
    <row r="62" spans="1:10" ht="15.75" x14ac:dyDescent="0.25">
      <c r="A62" s="678"/>
      <c r="B62" s="889"/>
      <c r="C62" s="742"/>
      <c r="D62" s="742"/>
      <c r="F62" s="687"/>
      <c r="G62" s="78"/>
      <c r="I62" s="742"/>
      <c r="J62" s="742"/>
    </row>
    <row r="63" spans="1:10" ht="15.75" x14ac:dyDescent="0.25">
      <c r="A63" s="678"/>
      <c r="B63" s="889"/>
      <c r="C63" s="742"/>
      <c r="D63" s="742"/>
      <c r="F63" s="687"/>
      <c r="G63" s="78"/>
      <c r="I63" s="742"/>
      <c r="J63" s="742"/>
    </row>
    <row r="69" spans="1:12" x14ac:dyDescent="0.2">
      <c r="L69">
        <f>O69*1.005</f>
        <v>0</v>
      </c>
    </row>
    <row r="70" spans="1:12" x14ac:dyDescent="0.2">
      <c r="L70">
        <f t="shared" ref="L70:L71" si="8">O70*1.005</f>
        <v>0</v>
      </c>
    </row>
    <row r="71" spans="1:12" x14ac:dyDescent="0.2">
      <c r="L71">
        <f t="shared" si="8"/>
        <v>0</v>
      </c>
    </row>
    <row r="72" spans="1:12" ht="31.5" x14ac:dyDescent="0.2">
      <c r="A72" s="691" t="s">
        <v>594</v>
      </c>
      <c r="B72" s="1241" t="s">
        <v>673</v>
      </c>
      <c r="C72" s="1241" t="str">
        <f>C41</f>
        <v>Choice POS II</v>
      </c>
      <c r="D72" s="1241" t="s">
        <v>542</v>
      </c>
      <c r="E72" s="1158"/>
      <c r="F72" s="1241" t="s">
        <v>497</v>
      </c>
      <c r="G72" s="1250"/>
      <c r="H72" s="1158"/>
      <c r="I72" s="1241" t="str">
        <f>I41</f>
        <v>OAP</v>
      </c>
      <c r="J72" s="1255" t="str">
        <f>J41</f>
        <v>Blue Choice</v>
      </c>
    </row>
    <row r="73" spans="1:12" ht="15.75" x14ac:dyDescent="0.25">
      <c r="A73" s="679" t="s">
        <v>721</v>
      </c>
      <c r="B73" s="1251">
        <v>14919353</v>
      </c>
      <c r="C73" s="1251">
        <v>14854573</v>
      </c>
      <c r="D73" s="1252">
        <f>C73*1.009</f>
        <v>14988264.156999998</v>
      </c>
      <c r="E73" s="1158"/>
      <c r="F73" s="1550" t="s">
        <v>373</v>
      </c>
      <c r="G73" s="1250"/>
      <c r="H73" s="1158"/>
      <c r="I73" s="1251">
        <v>14378562</v>
      </c>
      <c r="J73" s="1061" t="s">
        <v>537</v>
      </c>
    </row>
    <row r="74" spans="1:12" ht="15.75" x14ac:dyDescent="0.25">
      <c r="A74" s="679" t="s">
        <v>722</v>
      </c>
      <c r="B74" s="1251">
        <f>B73-B75</f>
        <v>7937010</v>
      </c>
      <c r="C74" s="1251">
        <f>C73-C75</f>
        <v>8289410</v>
      </c>
      <c r="D74" s="1252">
        <v>8226086</v>
      </c>
      <c r="E74" s="1158"/>
      <c r="F74" s="1550"/>
      <c r="G74" s="1250"/>
      <c r="H74" s="1158"/>
      <c r="I74" s="1251">
        <v>7900169</v>
      </c>
      <c r="J74" s="1061" t="s">
        <v>537</v>
      </c>
    </row>
    <row r="75" spans="1:12" ht="15.75" x14ac:dyDescent="0.25">
      <c r="A75" s="679"/>
      <c r="B75" s="1251">
        <v>6982343</v>
      </c>
      <c r="C75" s="1251">
        <v>6565163</v>
      </c>
      <c r="D75" s="1252">
        <f>D73-D74</f>
        <v>6762178.1569999978</v>
      </c>
      <c r="E75" s="1158"/>
      <c r="F75" s="1550"/>
      <c r="G75" s="1250" t="s">
        <v>536</v>
      </c>
      <c r="H75" s="1158"/>
      <c r="I75" s="1251">
        <v>6293338</v>
      </c>
      <c r="J75" s="1061" t="s">
        <v>537</v>
      </c>
    </row>
    <row r="76" spans="1:12" ht="16.5" thickBot="1" x14ac:dyDescent="0.3">
      <c r="A76" s="681" t="s">
        <v>672</v>
      </c>
      <c r="B76" s="1259">
        <f>B74/B73</f>
        <v>0.5319942493484805</v>
      </c>
      <c r="C76" s="1259">
        <f>C74/C73</f>
        <v>0.55803758209677246</v>
      </c>
      <c r="D76" s="1260">
        <f>D74/D73</f>
        <v>0.54883513619942137</v>
      </c>
      <c r="E76" s="1261"/>
      <c r="F76" s="1551"/>
      <c r="G76" s="1262"/>
      <c r="H76" s="1261"/>
      <c r="I76" s="1259">
        <f>I74/I73</f>
        <v>0.54944082725379628</v>
      </c>
      <c r="J76" s="1062" t="s">
        <v>537</v>
      </c>
    </row>
  </sheetData>
  <mergeCells count="2">
    <mergeCell ref="F73:F76"/>
    <mergeCell ref="A59:D59"/>
  </mergeCells>
  <printOptions horizontalCentered="1"/>
  <pageMargins left="0.7" right="0.7" top="1.24" bottom="0.75" header="0.63" footer="0.3"/>
  <pageSetup fitToHeight="0" orientation="landscape" r:id="rId1"/>
  <headerFooter>
    <oddHeader>&amp;C&amp;"-,Bold"&amp;14CITY OF ALLEN
NETWORK DISRUPTION ANALYSIS</oddHead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20"/>
  <sheetViews>
    <sheetView workbookViewId="0">
      <selection activeCell="C1" sqref="C1"/>
    </sheetView>
  </sheetViews>
  <sheetFormatPr defaultColWidth="8.85546875" defaultRowHeight="12.75" x14ac:dyDescent="0.2"/>
  <cols>
    <col min="1" max="1" width="23.42578125" customWidth="1"/>
    <col min="2" max="2" width="32" customWidth="1"/>
    <col min="3" max="4" width="37.28515625" customWidth="1"/>
  </cols>
  <sheetData>
    <row r="1" spans="1:4" ht="15.75" x14ac:dyDescent="0.2">
      <c r="A1" s="476" t="s">
        <v>177</v>
      </c>
      <c r="B1" s="476" t="s">
        <v>178</v>
      </c>
      <c r="C1" s="476" t="s">
        <v>179</v>
      </c>
      <c r="D1" s="476" t="s">
        <v>130</v>
      </c>
    </row>
    <row r="2" spans="1:4" ht="15.75" x14ac:dyDescent="0.2">
      <c r="A2" s="477"/>
      <c r="B2" s="477" t="s">
        <v>180</v>
      </c>
      <c r="C2" s="477"/>
      <c r="D2" s="477" t="s">
        <v>214</v>
      </c>
    </row>
    <row r="3" spans="1:4" x14ac:dyDescent="0.2">
      <c r="A3" s="1554" t="s">
        <v>216</v>
      </c>
      <c r="B3" s="1553"/>
      <c r="C3" s="1554"/>
      <c r="D3" s="1555" t="s">
        <v>172</v>
      </c>
    </row>
    <row r="4" spans="1:4" ht="25.5" customHeight="1" x14ac:dyDescent="0.2">
      <c r="A4" s="1554"/>
      <c r="B4" s="1553"/>
      <c r="C4" s="1554"/>
      <c r="D4" s="1555"/>
    </row>
    <row r="5" spans="1:4" ht="23.25" customHeight="1" x14ac:dyDescent="0.2">
      <c r="A5" s="477"/>
      <c r="B5" s="477" t="s">
        <v>181</v>
      </c>
      <c r="C5" s="477"/>
      <c r="D5" s="477" t="s">
        <v>212</v>
      </c>
    </row>
    <row r="6" spans="1:4" ht="15.75" x14ac:dyDescent="0.2">
      <c r="A6" s="473"/>
      <c r="B6" s="473"/>
      <c r="C6" s="473"/>
      <c r="D6" s="478" t="s">
        <v>172</v>
      </c>
    </row>
    <row r="7" spans="1:4" ht="31.5" x14ac:dyDescent="0.2">
      <c r="A7" s="477"/>
      <c r="B7" s="477" t="s">
        <v>185</v>
      </c>
      <c r="C7" s="477"/>
      <c r="D7" s="477" t="s">
        <v>213</v>
      </c>
    </row>
    <row r="8" spans="1:4" ht="15.75" x14ac:dyDescent="0.2">
      <c r="A8" s="476"/>
      <c r="B8" s="479"/>
      <c r="C8" s="476"/>
      <c r="D8" s="480" t="s">
        <v>172</v>
      </c>
    </row>
    <row r="9" spans="1:4" ht="15.75" x14ac:dyDescent="0.2">
      <c r="A9" s="477"/>
      <c r="B9" s="477" t="s">
        <v>182</v>
      </c>
      <c r="C9" s="477"/>
      <c r="D9" s="477" t="s">
        <v>182</v>
      </c>
    </row>
    <row r="10" spans="1:4" ht="15.75" x14ac:dyDescent="0.2">
      <c r="A10" s="473"/>
      <c r="B10" s="475"/>
      <c r="C10" s="473"/>
      <c r="D10" s="473" t="s">
        <v>172</v>
      </c>
    </row>
    <row r="11" spans="1:4" ht="15.75" x14ac:dyDescent="0.2">
      <c r="A11" s="477"/>
      <c r="B11" s="477" t="s">
        <v>183</v>
      </c>
      <c r="C11" s="477"/>
      <c r="D11" s="477"/>
    </row>
    <row r="12" spans="1:4" ht="15.75" x14ac:dyDescent="0.2">
      <c r="A12" s="473"/>
      <c r="B12" s="475"/>
      <c r="C12" s="473"/>
      <c r="D12" s="473" t="s">
        <v>172</v>
      </c>
    </row>
    <row r="13" spans="1:4" ht="15.75" x14ac:dyDescent="0.2">
      <c r="A13" s="477"/>
      <c r="B13" s="477" t="s">
        <v>184</v>
      </c>
      <c r="C13" s="477"/>
      <c r="D13" s="477"/>
    </row>
    <row r="14" spans="1:4" ht="15.75" x14ac:dyDescent="0.2">
      <c r="A14" s="473"/>
      <c r="B14" s="475"/>
      <c r="C14" s="473"/>
      <c r="D14" s="473" t="s">
        <v>172</v>
      </c>
    </row>
    <row r="15" spans="1:4" ht="15.75" x14ac:dyDescent="0.2">
      <c r="A15" s="477"/>
      <c r="B15" s="477" t="s">
        <v>186</v>
      </c>
      <c r="C15" s="477"/>
      <c r="D15" s="477"/>
    </row>
    <row r="16" spans="1:4" ht="15.75" x14ac:dyDescent="0.2">
      <c r="A16" s="476"/>
      <c r="B16" s="479"/>
      <c r="C16" s="476"/>
      <c r="D16" s="476" t="s">
        <v>172</v>
      </c>
    </row>
    <row r="17" spans="1:4" ht="15.75" x14ac:dyDescent="0.2">
      <c r="A17" s="477"/>
      <c r="B17" s="477" t="s">
        <v>187</v>
      </c>
      <c r="C17" s="477"/>
      <c r="D17" s="477"/>
    </row>
    <row r="18" spans="1:4" ht="15.75" x14ac:dyDescent="0.2">
      <c r="A18" s="473"/>
      <c r="B18" s="475"/>
      <c r="C18" s="473"/>
      <c r="D18" s="478" t="s">
        <v>172</v>
      </c>
    </row>
    <row r="19" spans="1:4" ht="15.75" x14ac:dyDescent="0.2">
      <c r="A19" s="477"/>
      <c r="B19" s="477"/>
      <c r="C19" s="477"/>
      <c r="D19" s="477" t="s">
        <v>215</v>
      </c>
    </row>
    <row r="20" spans="1:4" ht="15.75" x14ac:dyDescent="0.2">
      <c r="A20" s="473"/>
      <c r="B20" s="475"/>
      <c r="C20" s="473"/>
      <c r="D20" s="478">
        <v>20000</v>
      </c>
    </row>
  </sheetData>
  <mergeCells count="4">
    <mergeCell ref="B3:B4"/>
    <mergeCell ref="C3:C4"/>
    <mergeCell ref="A3:A4"/>
    <mergeCell ref="D3:D4"/>
  </mergeCells>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D17"/>
  <sheetViews>
    <sheetView workbookViewId="0">
      <selection activeCell="C17" sqref="C17"/>
    </sheetView>
  </sheetViews>
  <sheetFormatPr defaultColWidth="8.85546875" defaultRowHeight="12.75" x14ac:dyDescent="0.2"/>
  <cols>
    <col min="1" max="1" width="32.42578125" customWidth="1"/>
    <col min="2" max="3" width="32.42578125" style="490" customWidth="1"/>
    <col min="4" max="4" width="60.85546875" customWidth="1"/>
  </cols>
  <sheetData>
    <row r="1" spans="1:4" ht="15.75" x14ac:dyDescent="0.2">
      <c r="A1" s="1556" t="s">
        <v>188</v>
      </c>
      <c r="B1" s="1557" t="s">
        <v>74</v>
      </c>
      <c r="C1" s="1557" t="s">
        <v>130</v>
      </c>
      <c r="D1" s="486" t="s">
        <v>189</v>
      </c>
    </row>
    <row r="2" spans="1:4" ht="31.5" x14ac:dyDescent="0.2">
      <c r="A2" s="1556"/>
      <c r="B2" s="1558"/>
      <c r="C2" s="1558"/>
      <c r="D2" s="486" t="s">
        <v>194</v>
      </c>
    </row>
    <row r="3" spans="1:4" ht="15.75" x14ac:dyDescent="0.2">
      <c r="A3" s="484" t="s">
        <v>195</v>
      </c>
      <c r="B3" s="486" t="s">
        <v>321</v>
      </c>
      <c r="C3" s="486" t="s">
        <v>356</v>
      </c>
      <c r="D3" s="486"/>
    </row>
    <row r="4" spans="1:4" ht="15.75" x14ac:dyDescent="0.2">
      <c r="A4" s="484" t="s">
        <v>196</v>
      </c>
      <c r="B4" s="486" t="s">
        <v>320</v>
      </c>
      <c r="C4" s="486" t="s">
        <v>172</v>
      </c>
      <c r="D4" s="486"/>
    </row>
    <row r="5" spans="1:4" ht="31.5" x14ac:dyDescent="0.2">
      <c r="A5" s="484" t="s">
        <v>197</v>
      </c>
      <c r="B5" s="486" t="s">
        <v>322</v>
      </c>
      <c r="C5" s="486" t="s">
        <v>357</v>
      </c>
      <c r="D5" s="486" t="s">
        <v>198</v>
      </c>
    </row>
    <row r="6" spans="1:4" ht="15.75" x14ac:dyDescent="0.2">
      <c r="A6" s="484" t="s">
        <v>199</v>
      </c>
      <c r="B6" s="486" t="s">
        <v>172</v>
      </c>
      <c r="C6" s="486" t="s">
        <v>357</v>
      </c>
      <c r="D6" s="486" t="s">
        <v>198</v>
      </c>
    </row>
    <row r="7" spans="1:4" ht="47.25" x14ac:dyDescent="0.2">
      <c r="A7" s="484" t="s">
        <v>200</v>
      </c>
      <c r="B7" s="486" t="s">
        <v>323</v>
      </c>
      <c r="C7" s="486" t="s">
        <v>358</v>
      </c>
      <c r="D7" s="486" t="s">
        <v>201</v>
      </c>
    </row>
    <row r="8" spans="1:4" ht="31.5" x14ac:dyDescent="0.2">
      <c r="A8" s="484" t="s">
        <v>202</v>
      </c>
      <c r="B8" s="486" t="s">
        <v>322</v>
      </c>
      <c r="C8" s="486" t="s">
        <v>359</v>
      </c>
      <c r="D8" s="486" t="s">
        <v>198</v>
      </c>
    </row>
    <row r="9" spans="1:4" ht="47.25" x14ac:dyDescent="0.2">
      <c r="A9" s="484" t="s">
        <v>203</v>
      </c>
      <c r="B9" s="486" t="s">
        <v>324</v>
      </c>
      <c r="C9" s="486" t="s">
        <v>360</v>
      </c>
      <c r="D9" s="486" t="s">
        <v>198</v>
      </c>
    </row>
    <row r="10" spans="1:4" ht="31.5" x14ac:dyDescent="0.2">
      <c r="A10" s="484" t="s">
        <v>204</v>
      </c>
      <c r="B10" s="486" t="s">
        <v>322</v>
      </c>
      <c r="C10" s="486" t="s">
        <v>361</v>
      </c>
      <c r="D10" s="486" t="s">
        <v>198</v>
      </c>
    </row>
    <row r="11" spans="1:4" ht="31.5" x14ac:dyDescent="0.2">
      <c r="A11" s="484" t="s">
        <v>205</v>
      </c>
      <c r="B11" s="486" t="s">
        <v>322</v>
      </c>
      <c r="C11" s="486" t="s">
        <v>359</v>
      </c>
      <c r="D11" s="486" t="s">
        <v>198</v>
      </c>
    </row>
    <row r="12" spans="1:4" ht="15.75" x14ac:dyDescent="0.2">
      <c r="A12" s="484" t="s">
        <v>206</v>
      </c>
      <c r="B12" s="486" t="s">
        <v>325</v>
      </c>
      <c r="C12" s="486" t="s">
        <v>362</v>
      </c>
      <c r="D12" s="486" t="s">
        <v>198</v>
      </c>
    </row>
    <row r="13" spans="1:4" ht="31.5" x14ac:dyDescent="0.2">
      <c r="A13" s="484" t="s">
        <v>207</v>
      </c>
      <c r="B13" s="486" t="s">
        <v>322</v>
      </c>
      <c r="C13" s="486" t="s">
        <v>363</v>
      </c>
      <c r="D13" s="486" t="s">
        <v>208</v>
      </c>
    </row>
    <row r="14" spans="1:4" ht="31.5" x14ac:dyDescent="0.2">
      <c r="A14" s="484" t="s">
        <v>209</v>
      </c>
      <c r="B14" s="486" t="s">
        <v>322</v>
      </c>
      <c r="C14" s="486" t="s">
        <v>359</v>
      </c>
      <c r="D14" s="486" t="s">
        <v>208</v>
      </c>
    </row>
    <row r="15" spans="1:4" ht="31.5" x14ac:dyDescent="0.2">
      <c r="A15" s="484" t="s">
        <v>210</v>
      </c>
      <c r="B15" s="486" t="s">
        <v>322</v>
      </c>
      <c r="C15" s="486" t="s">
        <v>359</v>
      </c>
      <c r="D15" s="486" t="s">
        <v>208</v>
      </c>
    </row>
    <row r="16" spans="1:4" ht="157.5" x14ac:dyDescent="0.2">
      <c r="A16" s="484" t="s">
        <v>211</v>
      </c>
      <c r="B16" s="486" t="s">
        <v>326</v>
      </c>
      <c r="C16" s="486" t="s">
        <v>317</v>
      </c>
      <c r="D16" s="486" t="s">
        <v>198</v>
      </c>
    </row>
    <row r="17" spans="1:4" x14ac:dyDescent="0.2">
      <c r="A17" s="495"/>
      <c r="B17" s="496"/>
      <c r="C17" s="496"/>
      <c r="D17" s="495"/>
    </row>
  </sheetData>
  <mergeCells count="3">
    <mergeCell ref="A1:A2"/>
    <mergeCell ref="B1:B2"/>
    <mergeCell ref="C1:C2"/>
  </mergeCells>
  <pageMargins left="0.7" right="0.7" top="0.75" bottom="0.75" header="0.3" footer="0.3"/>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H24"/>
  <sheetViews>
    <sheetView zoomScale="75" zoomScaleNormal="75" zoomScalePageLayoutView="75" workbookViewId="0">
      <selection activeCell="F1" sqref="F1:F1048576"/>
    </sheetView>
  </sheetViews>
  <sheetFormatPr defaultColWidth="8.85546875" defaultRowHeight="12.75" x14ac:dyDescent="0.2"/>
  <cols>
    <col min="1" max="1" width="32.140625" customWidth="1"/>
    <col min="2" max="2" width="38.85546875" style="490" customWidth="1"/>
    <col min="3" max="4" width="39.28515625" hidden="1" customWidth="1"/>
    <col min="5" max="5" width="39.28515625" customWidth="1"/>
    <col min="6" max="6" width="39.28515625" hidden="1" customWidth="1"/>
    <col min="7" max="7" width="39.28515625" customWidth="1"/>
    <col min="8" max="8" width="39.28515625" hidden="1" customWidth="1"/>
  </cols>
  <sheetData>
    <row r="1" spans="1:8" ht="15" x14ac:dyDescent="0.2">
      <c r="A1" s="604" t="s">
        <v>217</v>
      </c>
      <c r="B1" s="606" t="s">
        <v>89</v>
      </c>
      <c r="C1" s="606" t="s">
        <v>130</v>
      </c>
      <c r="D1" s="606" t="s">
        <v>74</v>
      </c>
      <c r="E1" s="606" t="s">
        <v>302</v>
      </c>
      <c r="F1" s="606" t="s">
        <v>260</v>
      </c>
      <c r="G1" s="606" t="s">
        <v>267</v>
      </c>
      <c r="H1" s="606" t="s">
        <v>76</v>
      </c>
    </row>
    <row r="2" spans="1:8" ht="15" x14ac:dyDescent="0.2">
      <c r="A2" s="607"/>
      <c r="B2" s="609" t="s">
        <v>453</v>
      </c>
      <c r="C2" s="608"/>
      <c r="D2" s="608"/>
      <c r="E2" s="608"/>
      <c r="F2" s="608"/>
      <c r="G2" s="608"/>
      <c r="H2" s="608"/>
    </row>
    <row r="3" spans="1:8" ht="30" x14ac:dyDescent="0.2">
      <c r="A3" s="605" t="s">
        <v>218</v>
      </c>
      <c r="B3" s="471" t="s">
        <v>317</v>
      </c>
      <c r="C3" s="470" t="s">
        <v>172</v>
      </c>
      <c r="D3" s="481">
        <v>2000</v>
      </c>
      <c r="E3" s="488" t="s">
        <v>303</v>
      </c>
      <c r="F3" s="481" t="s">
        <v>40</v>
      </c>
      <c r="G3" s="481">
        <v>350</v>
      </c>
      <c r="H3" s="481" t="s">
        <v>255</v>
      </c>
    </row>
    <row r="4" spans="1:8" ht="25.5" customHeight="1" x14ac:dyDescent="0.2">
      <c r="A4" s="605" t="s">
        <v>219</v>
      </c>
      <c r="B4" s="471" t="s">
        <v>172</v>
      </c>
      <c r="C4" s="470" t="s">
        <v>172</v>
      </c>
      <c r="D4" s="470" t="s">
        <v>172</v>
      </c>
      <c r="E4" s="470" t="s">
        <v>304</v>
      </c>
      <c r="F4" s="470" t="s">
        <v>172</v>
      </c>
      <c r="G4" s="470" t="s">
        <v>172</v>
      </c>
      <c r="H4" s="470" t="s">
        <v>172</v>
      </c>
    </row>
    <row r="5" spans="1:8" ht="25.5" customHeight="1" x14ac:dyDescent="0.2">
      <c r="A5" s="605" t="s">
        <v>220</v>
      </c>
      <c r="B5" s="471" t="s">
        <v>172</v>
      </c>
      <c r="C5" s="470" t="s">
        <v>172</v>
      </c>
      <c r="D5" s="470" t="s">
        <v>172</v>
      </c>
      <c r="E5" s="470" t="s">
        <v>305</v>
      </c>
      <c r="F5" s="470" t="s">
        <v>261</v>
      </c>
      <c r="G5" s="470" t="s">
        <v>172</v>
      </c>
      <c r="H5" s="470" t="s">
        <v>172</v>
      </c>
    </row>
    <row r="6" spans="1:8" ht="25.5" customHeight="1" x14ac:dyDescent="0.2">
      <c r="A6" s="605" t="s">
        <v>221</v>
      </c>
      <c r="B6" s="471" t="s">
        <v>378</v>
      </c>
      <c r="C6" s="470" t="s">
        <v>246</v>
      </c>
      <c r="D6" s="470" t="s">
        <v>239</v>
      </c>
      <c r="E6" s="470" t="s">
        <v>172</v>
      </c>
      <c r="F6" s="470" t="s">
        <v>262</v>
      </c>
      <c r="G6" s="470" t="s">
        <v>172</v>
      </c>
      <c r="H6" s="470" t="s">
        <v>249</v>
      </c>
    </row>
    <row r="7" spans="1:8" ht="30" x14ac:dyDescent="0.2">
      <c r="A7" s="605" t="s">
        <v>222</v>
      </c>
      <c r="B7" s="471" t="s">
        <v>172</v>
      </c>
      <c r="C7" s="471" t="s">
        <v>172</v>
      </c>
      <c r="D7" s="471" t="s">
        <v>172</v>
      </c>
      <c r="E7" s="471" t="s">
        <v>306</v>
      </c>
      <c r="F7" s="471" t="s">
        <v>172</v>
      </c>
      <c r="G7" s="471" t="s">
        <v>172</v>
      </c>
      <c r="H7" s="471" t="s">
        <v>172</v>
      </c>
    </row>
    <row r="8" spans="1:8" ht="60" x14ac:dyDescent="0.2">
      <c r="A8" s="605" t="s">
        <v>223</v>
      </c>
      <c r="B8" s="471" t="s">
        <v>172</v>
      </c>
      <c r="C8" s="471" t="s">
        <v>247</v>
      </c>
      <c r="D8" s="470" t="s">
        <v>240</v>
      </c>
      <c r="E8" s="470" t="s">
        <v>172</v>
      </c>
      <c r="F8" s="470" t="s">
        <v>172</v>
      </c>
      <c r="G8" s="471" t="s">
        <v>268</v>
      </c>
      <c r="H8" s="470" t="s">
        <v>240</v>
      </c>
    </row>
    <row r="9" spans="1:8" ht="60" x14ac:dyDescent="0.2">
      <c r="A9" s="605" t="s">
        <v>224</v>
      </c>
      <c r="B9" s="471" t="s">
        <v>172</v>
      </c>
      <c r="C9" s="471" t="s">
        <v>248</v>
      </c>
      <c r="D9" s="470" t="s">
        <v>172</v>
      </c>
      <c r="E9" s="470" t="s">
        <v>172</v>
      </c>
      <c r="F9" s="470" t="s">
        <v>172</v>
      </c>
      <c r="G9" s="470" t="s">
        <v>172</v>
      </c>
      <c r="H9" s="470" t="s">
        <v>172</v>
      </c>
    </row>
    <row r="10" spans="1:8" ht="30" x14ac:dyDescent="0.2">
      <c r="A10" s="605" t="s">
        <v>225</v>
      </c>
      <c r="B10" s="471" t="s">
        <v>172</v>
      </c>
      <c r="C10" s="470" t="s">
        <v>172</v>
      </c>
      <c r="D10" s="470" t="s">
        <v>172</v>
      </c>
      <c r="E10" s="470" t="s">
        <v>172</v>
      </c>
      <c r="F10" s="470" t="s">
        <v>172</v>
      </c>
      <c r="G10" s="470" t="s">
        <v>172</v>
      </c>
      <c r="H10" s="470" t="s">
        <v>172</v>
      </c>
    </row>
    <row r="11" spans="1:8" ht="17.25" customHeight="1" x14ac:dyDescent="0.2">
      <c r="A11" s="605" t="s">
        <v>226</v>
      </c>
      <c r="B11" s="471" t="s">
        <v>172</v>
      </c>
      <c r="C11" s="470" t="s">
        <v>172</v>
      </c>
      <c r="D11" s="470" t="s">
        <v>172</v>
      </c>
      <c r="E11" s="470" t="s">
        <v>172</v>
      </c>
      <c r="F11" s="470" t="s">
        <v>172</v>
      </c>
      <c r="G11" s="470" t="s">
        <v>172</v>
      </c>
      <c r="H11" s="470" t="s">
        <v>172</v>
      </c>
    </row>
    <row r="12" spans="1:8" ht="17.25" customHeight="1" x14ac:dyDescent="0.2">
      <c r="A12" s="605" t="s">
        <v>227</v>
      </c>
      <c r="B12" s="471" t="s">
        <v>172</v>
      </c>
      <c r="C12" s="470" t="s">
        <v>172</v>
      </c>
      <c r="D12" s="470" t="s">
        <v>172</v>
      </c>
      <c r="E12" s="470" t="s">
        <v>172</v>
      </c>
      <c r="F12" s="470" t="s">
        <v>172</v>
      </c>
      <c r="G12" s="470" t="s">
        <v>172</v>
      </c>
      <c r="H12" s="470" t="s">
        <v>172</v>
      </c>
    </row>
    <row r="13" spans="1:8" ht="30" x14ac:dyDescent="0.2">
      <c r="A13" s="605" t="s">
        <v>228</v>
      </c>
      <c r="B13" s="471" t="s">
        <v>172</v>
      </c>
      <c r="C13" s="470" t="s">
        <v>172</v>
      </c>
      <c r="D13" s="470" t="s">
        <v>172</v>
      </c>
      <c r="E13" s="471" t="s">
        <v>306</v>
      </c>
      <c r="F13" s="470" t="s">
        <v>172</v>
      </c>
      <c r="G13" s="470" t="s">
        <v>172</v>
      </c>
      <c r="H13" s="470" t="s">
        <v>172</v>
      </c>
    </row>
    <row r="14" spans="1:8" ht="30" x14ac:dyDescent="0.2">
      <c r="A14" s="605" t="s">
        <v>229</v>
      </c>
      <c r="B14" s="471" t="s">
        <v>172</v>
      </c>
      <c r="C14" s="472" t="s">
        <v>249</v>
      </c>
      <c r="D14" s="472" t="s">
        <v>172</v>
      </c>
      <c r="E14" s="472" t="s">
        <v>172</v>
      </c>
      <c r="F14" s="469" t="s">
        <v>263</v>
      </c>
      <c r="G14" s="469" t="s">
        <v>269</v>
      </c>
      <c r="H14" s="472" t="s">
        <v>172</v>
      </c>
    </row>
    <row r="15" spans="1:8" ht="15" x14ac:dyDescent="0.2">
      <c r="A15" s="605" t="s">
        <v>230</v>
      </c>
      <c r="B15" s="471" t="s">
        <v>172</v>
      </c>
      <c r="C15" s="470" t="s">
        <v>172</v>
      </c>
      <c r="D15" s="470" t="s">
        <v>172</v>
      </c>
      <c r="E15" s="470" t="s">
        <v>172</v>
      </c>
      <c r="F15" s="470" t="s">
        <v>172</v>
      </c>
      <c r="G15" s="470" t="s">
        <v>172</v>
      </c>
      <c r="H15" s="470" t="s">
        <v>172</v>
      </c>
    </row>
    <row r="16" spans="1:8" ht="15" x14ac:dyDescent="0.2">
      <c r="A16" s="605" t="s">
        <v>231</v>
      </c>
      <c r="B16" s="471" t="s">
        <v>172</v>
      </c>
      <c r="C16" s="470" t="s">
        <v>172</v>
      </c>
      <c r="D16" s="470" t="s">
        <v>240</v>
      </c>
      <c r="E16" s="470" t="s">
        <v>240</v>
      </c>
      <c r="F16" s="470" t="s">
        <v>172</v>
      </c>
      <c r="G16" s="470" t="s">
        <v>270</v>
      </c>
      <c r="H16" s="470" t="s">
        <v>172</v>
      </c>
    </row>
    <row r="17" spans="1:8" ht="30" x14ac:dyDescent="0.2">
      <c r="A17" s="605" t="s">
        <v>232</v>
      </c>
      <c r="B17" s="610" t="s">
        <v>241</v>
      </c>
      <c r="C17" s="471" t="s">
        <v>250</v>
      </c>
      <c r="D17" s="470" t="s">
        <v>241</v>
      </c>
      <c r="E17" s="470" t="s">
        <v>307</v>
      </c>
      <c r="F17" s="470" t="s">
        <v>241</v>
      </c>
      <c r="G17" s="470" t="s">
        <v>241</v>
      </c>
      <c r="H17" s="470" t="s">
        <v>256</v>
      </c>
    </row>
    <row r="18" spans="1:8" ht="19.5" customHeight="1" x14ac:dyDescent="0.2">
      <c r="A18" s="605" t="s">
        <v>233</v>
      </c>
      <c r="B18" s="610" t="s">
        <v>454</v>
      </c>
      <c r="C18" s="470" t="s">
        <v>251</v>
      </c>
      <c r="D18" s="470" t="s">
        <v>242</v>
      </c>
      <c r="E18" s="470" t="s">
        <v>452</v>
      </c>
      <c r="F18" s="470" t="s">
        <v>264</v>
      </c>
      <c r="G18" s="470" t="s">
        <v>264</v>
      </c>
      <c r="H18" s="470" t="s">
        <v>257</v>
      </c>
    </row>
    <row r="19" spans="1:8" ht="19.5" customHeight="1" x14ac:dyDescent="0.2">
      <c r="A19" s="605" t="s">
        <v>234</v>
      </c>
      <c r="B19" s="471" t="s">
        <v>172</v>
      </c>
      <c r="C19" s="470" t="s">
        <v>252</v>
      </c>
      <c r="D19" s="470" t="s">
        <v>172</v>
      </c>
      <c r="E19" s="470" t="s">
        <v>172</v>
      </c>
      <c r="F19" s="470" t="s">
        <v>172</v>
      </c>
      <c r="G19" s="470" t="s">
        <v>172</v>
      </c>
      <c r="H19" s="470" t="s">
        <v>258</v>
      </c>
    </row>
    <row r="20" spans="1:8" ht="19.5" customHeight="1" x14ac:dyDescent="0.2">
      <c r="A20" s="605" t="s">
        <v>235</v>
      </c>
      <c r="B20" s="471" t="s">
        <v>172</v>
      </c>
      <c r="C20" s="470" t="s">
        <v>253</v>
      </c>
      <c r="D20" s="470" t="s">
        <v>172</v>
      </c>
      <c r="E20" s="470" t="s">
        <v>172</v>
      </c>
      <c r="F20" s="470" t="s">
        <v>265</v>
      </c>
      <c r="G20" s="470" t="s">
        <v>172</v>
      </c>
      <c r="H20" s="470" t="s">
        <v>258</v>
      </c>
    </row>
    <row r="21" spans="1:8" ht="30" x14ac:dyDescent="0.2">
      <c r="A21" s="605" t="s">
        <v>236</v>
      </c>
      <c r="B21" s="471" t="s">
        <v>172</v>
      </c>
      <c r="C21" s="482" t="s">
        <v>254</v>
      </c>
      <c r="D21" s="471" t="s">
        <v>243</v>
      </c>
      <c r="E21" s="489" t="s">
        <v>172</v>
      </c>
      <c r="F21" s="471" t="s">
        <v>266</v>
      </c>
      <c r="G21" s="471" t="s">
        <v>172</v>
      </c>
      <c r="H21" s="471" t="s">
        <v>249</v>
      </c>
    </row>
    <row r="22" spans="1:8" ht="15" x14ac:dyDescent="0.2">
      <c r="A22" s="605" t="s">
        <v>237</v>
      </c>
      <c r="B22" s="489">
        <v>5.75</v>
      </c>
      <c r="C22" s="482">
        <v>3.9</v>
      </c>
      <c r="D22" s="470" t="s">
        <v>244</v>
      </c>
      <c r="E22" s="470" t="s">
        <v>271</v>
      </c>
      <c r="F22" s="470" t="s">
        <v>265</v>
      </c>
      <c r="G22" s="470" t="s">
        <v>271</v>
      </c>
      <c r="H22" s="470" t="s">
        <v>259</v>
      </c>
    </row>
    <row r="23" spans="1:8" ht="30" x14ac:dyDescent="0.2">
      <c r="A23" s="605" t="s">
        <v>238</v>
      </c>
      <c r="B23" s="471" t="s">
        <v>317</v>
      </c>
      <c r="C23" s="481">
        <v>100</v>
      </c>
      <c r="D23" s="470" t="s">
        <v>245</v>
      </c>
      <c r="E23" s="470" t="s">
        <v>308</v>
      </c>
      <c r="F23" s="482">
        <v>50</v>
      </c>
      <c r="G23" s="482" t="s">
        <v>272</v>
      </c>
      <c r="H23" s="470" t="s">
        <v>259</v>
      </c>
    </row>
    <row r="24" spans="1:8" x14ac:dyDescent="0.2">
      <c r="A24" s="78" t="s">
        <v>75</v>
      </c>
    </row>
  </sheetData>
  <printOptions horizontalCentered="1"/>
  <pageMargins left="0.7" right="0.7" top="1" bottom="0.75" header="0.55000000000000004" footer="0.3"/>
  <pageSetup scale="83" orientation="landscape" r:id="rId1"/>
  <headerFooter>
    <oddHeader>&amp;C&amp;"Arial,Bold"&amp;14CITY OF PEARLAND
FSA RFP ANALYSIS</oddHead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F20"/>
  <sheetViews>
    <sheetView workbookViewId="0">
      <selection activeCell="C25" sqref="C25"/>
    </sheetView>
  </sheetViews>
  <sheetFormatPr defaultColWidth="8.85546875" defaultRowHeight="12.75" x14ac:dyDescent="0.2"/>
  <cols>
    <col min="1" max="1" width="28.7109375" customWidth="1"/>
    <col min="2" max="3" width="28.7109375" style="491" customWidth="1"/>
    <col min="4" max="4" width="27.28515625" style="491" customWidth="1"/>
    <col min="5" max="5" width="28.7109375" style="491" hidden="1" customWidth="1"/>
    <col min="6" max="6" width="28.42578125" customWidth="1"/>
  </cols>
  <sheetData>
    <row r="1" spans="1:6" ht="15.75" x14ac:dyDescent="0.2">
      <c r="A1" s="612" t="s">
        <v>273</v>
      </c>
      <c r="B1" s="613" t="s">
        <v>455</v>
      </c>
      <c r="C1" s="613" t="s">
        <v>455</v>
      </c>
      <c r="D1" s="613" t="s">
        <v>302</v>
      </c>
      <c r="E1" s="613" t="s">
        <v>315</v>
      </c>
      <c r="F1" s="613" t="s">
        <v>314</v>
      </c>
    </row>
    <row r="2" spans="1:6" ht="15.75" x14ac:dyDescent="0.2">
      <c r="A2" s="614"/>
      <c r="B2" s="615" t="s">
        <v>453</v>
      </c>
      <c r="C2" s="615" t="s">
        <v>453</v>
      </c>
      <c r="D2" s="615"/>
      <c r="E2" s="615"/>
      <c r="F2" s="615"/>
    </row>
    <row r="3" spans="1:6" ht="15.75" x14ac:dyDescent="0.2">
      <c r="A3" s="612" t="s">
        <v>313</v>
      </c>
      <c r="B3" s="486" t="s">
        <v>317</v>
      </c>
      <c r="C3" s="486" t="s">
        <v>317</v>
      </c>
      <c r="D3" s="486" t="s">
        <v>460</v>
      </c>
      <c r="E3" s="486" t="s">
        <v>317</v>
      </c>
      <c r="F3" s="486" t="s">
        <v>317</v>
      </c>
    </row>
    <row r="4" spans="1:6" ht="15.75" x14ac:dyDescent="0.2">
      <c r="A4" s="612" t="s">
        <v>274</v>
      </c>
      <c r="B4" s="486" t="s">
        <v>172</v>
      </c>
      <c r="C4" s="486" t="s">
        <v>172</v>
      </c>
      <c r="D4" s="487">
        <v>5</v>
      </c>
      <c r="E4" s="487" t="s">
        <v>172</v>
      </c>
      <c r="F4" s="486" t="s">
        <v>288</v>
      </c>
    </row>
    <row r="5" spans="1:6" ht="31.5" hidden="1" x14ac:dyDescent="0.2">
      <c r="A5" s="612" t="s">
        <v>275</v>
      </c>
      <c r="B5" s="487">
        <v>5.94</v>
      </c>
      <c r="C5" s="487">
        <v>4.9400000000000004</v>
      </c>
      <c r="D5" s="487">
        <v>2.5</v>
      </c>
      <c r="E5" s="487" t="s">
        <v>316</v>
      </c>
      <c r="F5" s="486" t="s">
        <v>290</v>
      </c>
    </row>
    <row r="6" spans="1:6" ht="15.75" x14ac:dyDescent="0.2">
      <c r="A6" s="612" t="s">
        <v>289</v>
      </c>
      <c r="B6" s="618" t="s">
        <v>462</v>
      </c>
      <c r="C6" s="618" t="s">
        <v>462</v>
      </c>
      <c r="D6" s="618" t="s">
        <v>461</v>
      </c>
      <c r="E6" s="618">
        <v>3.5</v>
      </c>
      <c r="F6" s="619" t="s">
        <v>291</v>
      </c>
    </row>
    <row r="7" spans="1:6" ht="15.75" x14ac:dyDescent="0.2">
      <c r="A7" s="612" t="s">
        <v>276</v>
      </c>
      <c r="B7" s="487">
        <v>1.25</v>
      </c>
      <c r="C7" s="487">
        <v>1.25</v>
      </c>
      <c r="D7" s="486" t="s">
        <v>309</v>
      </c>
      <c r="E7" s="486" t="s">
        <v>305</v>
      </c>
      <c r="F7" s="486" t="s">
        <v>292</v>
      </c>
    </row>
    <row r="8" spans="1:6" ht="31.5" x14ac:dyDescent="0.2">
      <c r="A8" s="612" t="s">
        <v>277</v>
      </c>
      <c r="B8" s="486" t="s">
        <v>457</v>
      </c>
      <c r="C8" s="486" t="s">
        <v>457</v>
      </c>
      <c r="D8" s="487">
        <v>1.5</v>
      </c>
      <c r="E8" s="487" t="s">
        <v>317</v>
      </c>
      <c r="F8" s="486" t="s">
        <v>293</v>
      </c>
    </row>
    <row r="9" spans="1:6" ht="31.5" x14ac:dyDescent="0.2">
      <c r="A9" s="612" t="s">
        <v>278</v>
      </c>
      <c r="B9" s="486" t="s">
        <v>172</v>
      </c>
      <c r="C9" s="486" t="s">
        <v>172</v>
      </c>
      <c r="D9" s="486" t="s">
        <v>172</v>
      </c>
      <c r="E9" s="486" t="s">
        <v>172</v>
      </c>
      <c r="F9" s="486" t="s">
        <v>172</v>
      </c>
    </row>
    <row r="10" spans="1:6" ht="15.75" x14ac:dyDescent="0.2">
      <c r="A10" s="612" t="s">
        <v>279</v>
      </c>
      <c r="B10" s="487">
        <v>20</v>
      </c>
      <c r="C10" s="487">
        <v>20</v>
      </c>
      <c r="D10" s="486" t="s">
        <v>309</v>
      </c>
      <c r="E10" s="487">
        <v>25</v>
      </c>
      <c r="F10" s="487">
        <v>30</v>
      </c>
    </row>
    <row r="11" spans="1:6" ht="15.75" x14ac:dyDescent="0.2">
      <c r="A11" s="612" t="s">
        <v>280</v>
      </c>
      <c r="B11" s="487">
        <v>20</v>
      </c>
      <c r="C11" s="487">
        <v>20</v>
      </c>
      <c r="D11" s="487">
        <v>25</v>
      </c>
      <c r="E11" s="487">
        <v>20</v>
      </c>
      <c r="F11" s="487">
        <v>25</v>
      </c>
    </row>
    <row r="12" spans="1:6" ht="31.5" x14ac:dyDescent="0.2">
      <c r="A12" s="612" t="s">
        <v>281</v>
      </c>
      <c r="B12" s="486" t="s">
        <v>40</v>
      </c>
      <c r="C12" s="486" t="s">
        <v>40</v>
      </c>
      <c r="D12" s="486" t="s">
        <v>310</v>
      </c>
      <c r="E12" s="486" t="s">
        <v>40</v>
      </c>
      <c r="F12" s="486" t="s">
        <v>40</v>
      </c>
    </row>
    <row r="13" spans="1:6" ht="15.75" x14ac:dyDescent="0.2">
      <c r="A13" s="612" t="s">
        <v>282</v>
      </c>
      <c r="B13" s="486" t="s">
        <v>459</v>
      </c>
      <c r="C13" s="486" t="s">
        <v>459</v>
      </c>
      <c r="D13" s="486" t="s">
        <v>459</v>
      </c>
      <c r="E13" s="486" t="s">
        <v>459</v>
      </c>
      <c r="F13" s="486" t="s">
        <v>459</v>
      </c>
    </row>
    <row r="14" spans="1:6" ht="15.75" x14ac:dyDescent="0.2">
      <c r="A14" s="612" t="s">
        <v>283</v>
      </c>
      <c r="B14" s="486" t="s">
        <v>294</v>
      </c>
      <c r="C14" s="486" t="s">
        <v>294</v>
      </c>
      <c r="D14" s="486" t="s">
        <v>294</v>
      </c>
      <c r="E14" s="486" t="s">
        <v>294</v>
      </c>
      <c r="F14" s="486" t="s">
        <v>294</v>
      </c>
    </row>
    <row r="15" spans="1:6" ht="31.5" x14ac:dyDescent="0.2">
      <c r="A15" s="612" t="s">
        <v>284</v>
      </c>
      <c r="B15" s="486" t="s">
        <v>456</v>
      </c>
      <c r="C15" s="486" t="s">
        <v>456</v>
      </c>
      <c r="D15" s="486" t="s">
        <v>309</v>
      </c>
      <c r="E15" s="486" t="s">
        <v>317</v>
      </c>
      <c r="F15" s="486" t="s">
        <v>295</v>
      </c>
    </row>
    <row r="16" spans="1:6" ht="31.5" x14ac:dyDescent="0.2">
      <c r="A16" s="612" t="s">
        <v>285</v>
      </c>
      <c r="B16" s="487">
        <v>15</v>
      </c>
      <c r="C16" s="487">
        <v>15</v>
      </c>
      <c r="D16" s="487">
        <v>10</v>
      </c>
      <c r="E16" s="487">
        <v>20</v>
      </c>
      <c r="F16" s="487">
        <v>12</v>
      </c>
    </row>
    <row r="17" spans="1:6" ht="47.25" x14ac:dyDescent="0.2">
      <c r="A17" s="612" t="s">
        <v>286</v>
      </c>
      <c r="B17" s="487">
        <v>10</v>
      </c>
      <c r="C17" s="487">
        <v>10</v>
      </c>
      <c r="D17" s="486" t="s">
        <v>311</v>
      </c>
      <c r="E17" s="486" t="s">
        <v>172</v>
      </c>
      <c r="F17" s="486" t="s">
        <v>296</v>
      </c>
    </row>
    <row r="18" spans="1:6" ht="31.5" x14ac:dyDescent="0.2">
      <c r="A18" s="612" t="s">
        <v>287</v>
      </c>
      <c r="B18" s="486" t="s">
        <v>172</v>
      </c>
      <c r="C18" s="486" t="s">
        <v>172</v>
      </c>
      <c r="D18" s="486" t="s">
        <v>172</v>
      </c>
      <c r="E18" s="487">
        <v>15</v>
      </c>
      <c r="F18" s="487">
        <v>25</v>
      </c>
    </row>
    <row r="19" spans="1:6" ht="26.25" customHeight="1" x14ac:dyDescent="0.25">
      <c r="A19" s="616" t="s">
        <v>312</v>
      </c>
      <c r="B19" s="611" t="s">
        <v>458</v>
      </c>
      <c r="C19" s="611" t="s">
        <v>458</v>
      </c>
      <c r="D19" s="492">
        <v>20</v>
      </c>
      <c r="E19" s="492">
        <v>15</v>
      </c>
      <c r="F19" s="617">
        <v>25</v>
      </c>
    </row>
    <row r="20" spans="1:6" x14ac:dyDescent="0.2">
      <c r="A20" s="78" t="s">
        <v>75</v>
      </c>
    </row>
  </sheetData>
  <printOptions horizontalCentered="1"/>
  <pageMargins left="0.7" right="0.7" top="1.5" bottom="0.75" header="0.75" footer="0.3"/>
  <pageSetup scale="88" fitToHeight="0" orientation="landscape" r:id="rId1"/>
  <headerFooter>
    <oddHeader>&amp;C&amp;"Arial,Bold"&amp;14CITY OF PEARLAND
HSA BANKING FEES
RFP ANALYSIS</oddHead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B5"/>
  <sheetViews>
    <sheetView workbookViewId="0">
      <selection activeCell="B1" sqref="B1"/>
    </sheetView>
  </sheetViews>
  <sheetFormatPr defaultColWidth="8.85546875" defaultRowHeight="12.75" x14ac:dyDescent="0.2"/>
  <cols>
    <col min="1" max="1" width="29.85546875" customWidth="1"/>
    <col min="2" max="2" width="34" customWidth="1"/>
  </cols>
  <sheetData>
    <row r="1" spans="1:2" ht="15.75" x14ac:dyDescent="0.2">
      <c r="A1" s="474" t="s">
        <v>188</v>
      </c>
      <c r="B1" s="473" t="s">
        <v>130</v>
      </c>
    </row>
    <row r="2" spans="1:2" ht="15.75" x14ac:dyDescent="0.2">
      <c r="A2" s="474" t="s">
        <v>190</v>
      </c>
      <c r="B2" s="506">
        <v>10000</v>
      </c>
    </row>
    <row r="3" spans="1:2" ht="15.75" x14ac:dyDescent="0.2">
      <c r="A3" s="474" t="s">
        <v>191</v>
      </c>
      <c r="B3" s="475" t="s">
        <v>364</v>
      </c>
    </row>
    <row r="4" spans="1:2" ht="31.5" x14ac:dyDescent="0.2">
      <c r="A4" s="474" t="s">
        <v>192</v>
      </c>
      <c r="B4" s="475" t="s">
        <v>365</v>
      </c>
    </row>
    <row r="5" spans="1:2" ht="15.75" x14ac:dyDescent="0.2">
      <c r="A5" s="474" t="s">
        <v>193</v>
      </c>
      <c r="B5" s="475" t="s">
        <v>317</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S99"/>
  <sheetViews>
    <sheetView view="pageBreakPreview" topLeftCell="A4" zoomScaleNormal="130" zoomScalePageLayoutView="130" workbookViewId="0">
      <pane xSplit="1" topLeftCell="B1" activePane="topRight" state="frozen"/>
      <selection activeCell="A4" sqref="A4"/>
      <selection pane="topRight" activeCell="K43" sqref="K43"/>
    </sheetView>
  </sheetViews>
  <sheetFormatPr defaultColWidth="8.85546875" defaultRowHeight="12.75" x14ac:dyDescent="0.2"/>
  <cols>
    <col min="1" max="1" width="21.7109375" customWidth="1"/>
    <col min="2" max="2" width="4" customWidth="1"/>
    <col min="3" max="3" width="9.140625" customWidth="1"/>
    <col min="4" max="4" width="11.140625" customWidth="1"/>
    <col min="5" max="5" width="21.42578125" customWidth="1"/>
    <col min="6" max="6" width="19.85546875" customWidth="1"/>
    <col min="7" max="7" width="23.42578125" customWidth="1"/>
    <col min="8" max="8" width="23.140625" customWidth="1"/>
    <col min="9" max="9" width="22.85546875" customWidth="1"/>
    <col min="10" max="10" width="21.140625" customWidth="1"/>
    <col min="11" max="11" width="22.85546875" bestFit="1" customWidth="1"/>
    <col min="12" max="14" width="21.140625" customWidth="1"/>
    <col min="15" max="15" width="9.140625" customWidth="1"/>
    <col min="16" max="17" width="7.42578125" bestFit="1" customWidth="1"/>
  </cols>
  <sheetData>
    <row r="2" spans="1:19" ht="13.5" thickBot="1" x14ac:dyDescent="0.25">
      <c r="E2" s="461">
        <v>42278</v>
      </c>
      <c r="F2" s="461">
        <v>42644</v>
      </c>
      <c r="G2" s="461">
        <v>42644</v>
      </c>
      <c r="H2" s="461">
        <v>42646</v>
      </c>
      <c r="I2" s="461">
        <v>42644</v>
      </c>
      <c r="J2" s="461">
        <v>42645</v>
      </c>
      <c r="K2" s="461">
        <v>42647</v>
      </c>
      <c r="L2" s="461">
        <v>42649</v>
      </c>
      <c r="M2" s="461">
        <v>42650</v>
      </c>
      <c r="N2" s="461">
        <v>42651</v>
      </c>
    </row>
    <row r="3" spans="1:19" ht="12.75" customHeight="1" x14ac:dyDescent="0.2">
      <c r="A3" s="136" t="s">
        <v>0</v>
      </c>
      <c r="B3" s="137"/>
      <c r="C3" s="137"/>
      <c r="D3" s="138"/>
      <c r="E3" s="294" t="s">
        <v>76</v>
      </c>
      <c r="F3" s="534" t="s">
        <v>463</v>
      </c>
      <c r="G3" s="178" t="s">
        <v>477</v>
      </c>
      <c r="H3" s="141" t="s">
        <v>486</v>
      </c>
      <c r="I3" s="178" t="s">
        <v>49</v>
      </c>
      <c r="J3" s="141" t="s">
        <v>76</v>
      </c>
      <c r="K3" s="141" t="s">
        <v>173</v>
      </c>
      <c r="L3" s="178" t="s">
        <v>91</v>
      </c>
      <c r="M3" s="141" t="s">
        <v>91</v>
      </c>
      <c r="N3" s="178" t="s">
        <v>49</v>
      </c>
    </row>
    <row r="4" spans="1:19" ht="12.75" customHeight="1" x14ac:dyDescent="0.2">
      <c r="A4" s="142" t="s">
        <v>86</v>
      </c>
      <c r="B4" s="120"/>
      <c r="C4" s="120"/>
      <c r="D4" s="121"/>
      <c r="E4" s="295" t="s">
        <v>465</v>
      </c>
      <c r="F4" s="627" t="s">
        <v>465</v>
      </c>
      <c r="G4" s="179"/>
      <c r="H4" s="143" t="s">
        <v>74</v>
      </c>
      <c r="I4" s="179" t="s">
        <v>49</v>
      </c>
      <c r="J4" s="143" t="s">
        <v>176</v>
      </c>
      <c r="K4" s="143" t="s">
        <v>173</v>
      </c>
      <c r="L4" s="179" t="s">
        <v>162</v>
      </c>
      <c r="M4" s="143" t="s">
        <v>163</v>
      </c>
      <c r="N4" s="179" t="s">
        <v>161</v>
      </c>
    </row>
    <row r="5" spans="1:19" x14ac:dyDescent="0.2">
      <c r="A5" s="142" t="s">
        <v>1</v>
      </c>
      <c r="B5" s="120"/>
      <c r="C5" s="120"/>
      <c r="D5" s="121"/>
      <c r="E5" s="295" t="s">
        <v>49</v>
      </c>
      <c r="F5" s="627" t="s">
        <v>49</v>
      </c>
      <c r="G5" s="179" t="s">
        <v>115</v>
      </c>
      <c r="H5" s="143" t="s">
        <v>487</v>
      </c>
      <c r="I5" s="179" t="s">
        <v>165</v>
      </c>
      <c r="J5" s="143" t="s">
        <v>131</v>
      </c>
      <c r="K5" s="143" t="s">
        <v>138</v>
      </c>
      <c r="L5" s="179" t="s">
        <v>115</v>
      </c>
      <c r="M5" s="143" t="s">
        <v>115</v>
      </c>
      <c r="N5" s="179" t="s">
        <v>165</v>
      </c>
    </row>
    <row r="6" spans="1:19" x14ac:dyDescent="0.2">
      <c r="A6" s="142" t="s">
        <v>73</v>
      </c>
      <c r="B6" s="120"/>
      <c r="C6" s="120"/>
      <c r="D6" s="121"/>
      <c r="E6" s="295" t="s">
        <v>175</v>
      </c>
      <c r="F6" s="627" t="s">
        <v>175</v>
      </c>
      <c r="G6" s="179" t="s">
        <v>91</v>
      </c>
      <c r="H6" s="143" t="s">
        <v>494</v>
      </c>
      <c r="I6" s="143" t="s">
        <v>389</v>
      </c>
      <c r="J6" s="143" t="s">
        <v>175</v>
      </c>
      <c r="K6" s="143" t="s">
        <v>174</v>
      </c>
      <c r="L6" s="179" t="s">
        <v>91</v>
      </c>
      <c r="M6" s="143" t="s">
        <v>91</v>
      </c>
      <c r="N6" s="143" t="s">
        <v>389</v>
      </c>
    </row>
    <row r="7" spans="1:19" x14ac:dyDescent="0.2">
      <c r="A7" s="144" t="s">
        <v>2</v>
      </c>
      <c r="B7" s="1"/>
      <c r="C7" s="1"/>
      <c r="D7" s="2"/>
      <c r="E7" s="296">
        <v>225000</v>
      </c>
      <c r="F7" s="628">
        <v>225000</v>
      </c>
      <c r="G7" s="309">
        <v>225000</v>
      </c>
      <c r="H7" s="227">
        <v>225000</v>
      </c>
      <c r="I7" s="309">
        <v>225000</v>
      </c>
      <c r="J7" s="227">
        <v>125000</v>
      </c>
      <c r="K7" s="227">
        <v>125000</v>
      </c>
      <c r="L7" s="309">
        <v>125000</v>
      </c>
      <c r="M7" s="227">
        <v>125000</v>
      </c>
      <c r="N7" s="309">
        <v>125000</v>
      </c>
    </row>
    <row r="8" spans="1:19" x14ac:dyDescent="0.2">
      <c r="A8" s="144" t="s">
        <v>3</v>
      </c>
      <c r="B8" s="1"/>
      <c r="C8" s="1"/>
      <c r="D8" s="2"/>
      <c r="E8" s="297" t="s">
        <v>99</v>
      </c>
      <c r="F8" s="629" t="s">
        <v>99</v>
      </c>
      <c r="G8" s="180" t="s">
        <v>99</v>
      </c>
      <c r="H8" s="145" t="s">
        <v>99</v>
      </c>
      <c r="I8" s="180" t="s">
        <v>99</v>
      </c>
      <c r="J8" s="145" t="s">
        <v>99</v>
      </c>
      <c r="K8" s="587" t="s">
        <v>43</v>
      </c>
      <c r="L8" s="180" t="s">
        <v>99</v>
      </c>
      <c r="M8" s="145" t="s">
        <v>99</v>
      </c>
      <c r="N8" s="180" t="s">
        <v>99</v>
      </c>
    </row>
    <row r="9" spans="1:19" x14ac:dyDescent="0.2">
      <c r="A9" s="144" t="s">
        <v>80</v>
      </c>
      <c r="B9" s="1"/>
      <c r="C9" s="1"/>
      <c r="D9" s="2"/>
      <c r="E9" s="298" t="s">
        <v>77</v>
      </c>
      <c r="F9" s="630" t="s">
        <v>77</v>
      </c>
      <c r="G9" s="181" t="s">
        <v>77</v>
      </c>
      <c r="H9" s="146" t="s">
        <v>77</v>
      </c>
      <c r="I9" s="181" t="s">
        <v>77</v>
      </c>
      <c r="J9" s="146" t="s">
        <v>77</v>
      </c>
      <c r="K9" s="146" t="s">
        <v>77</v>
      </c>
      <c r="L9" s="181" t="s">
        <v>77</v>
      </c>
      <c r="M9" s="146" t="s">
        <v>77</v>
      </c>
      <c r="N9" s="181" t="s">
        <v>77</v>
      </c>
    </row>
    <row r="10" spans="1:19" x14ac:dyDescent="0.2">
      <c r="A10" s="144" t="s">
        <v>4</v>
      </c>
      <c r="B10" s="1"/>
      <c r="C10" s="1"/>
      <c r="D10" s="2"/>
      <c r="E10" s="297" t="s">
        <v>99</v>
      </c>
      <c r="F10" s="629" t="s">
        <v>99</v>
      </c>
      <c r="G10" s="180" t="s">
        <v>99</v>
      </c>
      <c r="H10" s="386" t="s">
        <v>99</v>
      </c>
      <c r="I10" s="386" t="s">
        <v>99</v>
      </c>
      <c r="J10" s="145" t="s">
        <v>99</v>
      </c>
      <c r="K10" s="587" t="s">
        <v>43</v>
      </c>
      <c r="L10" s="180" t="s">
        <v>99</v>
      </c>
      <c r="M10" s="145" t="s">
        <v>99</v>
      </c>
      <c r="N10" s="180" t="s">
        <v>99</v>
      </c>
    </row>
    <row r="11" spans="1:19" x14ac:dyDescent="0.2">
      <c r="A11" s="144" t="s">
        <v>81</v>
      </c>
      <c r="B11" s="1"/>
      <c r="C11" s="1"/>
      <c r="D11" s="2"/>
      <c r="E11" s="298" t="s">
        <v>77</v>
      </c>
      <c r="F11" s="630" t="s">
        <v>77</v>
      </c>
      <c r="G11" s="181" t="s">
        <v>77</v>
      </c>
      <c r="H11" s="146">
        <v>1000000</v>
      </c>
      <c r="I11" s="181">
        <v>2000000</v>
      </c>
      <c r="J11" s="146" t="s">
        <v>77</v>
      </c>
      <c r="K11" s="146" t="s">
        <v>77</v>
      </c>
      <c r="L11" s="181" t="s">
        <v>77</v>
      </c>
      <c r="M11" s="146" t="s">
        <v>77</v>
      </c>
      <c r="N11" s="181" t="s">
        <v>77</v>
      </c>
    </row>
    <row r="12" spans="1:19" x14ac:dyDescent="0.2">
      <c r="A12" s="144"/>
      <c r="B12" s="1"/>
      <c r="C12" s="1"/>
      <c r="D12" s="2"/>
      <c r="E12" s="297"/>
      <c r="F12" s="629"/>
      <c r="G12" s="180"/>
      <c r="H12" s="145"/>
      <c r="I12" s="180"/>
      <c r="J12" s="145"/>
      <c r="K12" s="145"/>
      <c r="L12" s="180"/>
      <c r="M12" s="145"/>
      <c r="N12" s="180"/>
    </row>
    <row r="13" spans="1:19" x14ac:dyDescent="0.2">
      <c r="A13" s="144" t="s">
        <v>103</v>
      </c>
      <c r="B13" s="1"/>
      <c r="C13" s="1"/>
      <c r="D13" s="2"/>
      <c r="E13" s="299">
        <v>28.21</v>
      </c>
      <c r="F13" s="631">
        <v>41.58</v>
      </c>
      <c r="G13" s="182">
        <f>F13</f>
        <v>41.58</v>
      </c>
      <c r="H13" s="148">
        <v>45.25</v>
      </c>
      <c r="I13" s="182">
        <v>70</v>
      </c>
      <c r="J13" s="148">
        <v>0</v>
      </c>
      <c r="K13" s="148">
        <f>F13</f>
        <v>41.58</v>
      </c>
      <c r="L13" s="182">
        <v>0</v>
      </c>
      <c r="M13" s="148">
        <v>0</v>
      </c>
      <c r="N13" s="182" t="e">
        <f>#REF!</f>
        <v>#REF!</v>
      </c>
      <c r="S13" s="460">
        <f>(E13-F13)/-E13</f>
        <v>0.47394540942928032</v>
      </c>
    </row>
    <row r="14" spans="1:19" x14ac:dyDescent="0.2">
      <c r="A14" s="228" t="s">
        <v>118</v>
      </c>
      <c r="B14" s="1"/>
      <c r="C14" s="1"/>
      <c r="D14" s="2"/>
      <c r="E14" s="299">
        <v>88.11</v>
      </c>
      <c r="F14" s="631">
        <v>127.19</v>
      </c>
      <c r="G14" s="182">
        <f>F14</f>
        <v>127.19</v>
      </c>
      <c r="H14" s="148">
        <v>119.27</v>
      </c>
      <c r="I14" s="182">
        <v>0</v>
      </c>
      <c r="J14" s="148">
        <v>0</v>
      </c>
      <c r="K14" s="148">
        <f>F14</f>
        <v>127.19</v>
      </c>
      <c r="L14" s="182">
        <v>0</v>
      </c>
      <c r="M14" s="148">
        <v>0</v>
      </c>
      <c r="N14" s="182">
        <v>0</v>
      </c>
    </row>
    <row r="15" spans="1:19" x14ac:dyDescent="0.2">
      <c r="A15" s="147"/>
      <c r="B15" s="1"/>
      <c r="C15" s="1"/>
      <c r="D15" s="2"/>
      <c r="E15" s="291"/>
      <c r="F15" s="632"/>
      <c r="G15" s="183"/>
      <c r="H15" s="149"/>
      <c r="I15" s="183"/>
      <c r="J15" s="149"/>
      <c r="K15" s="149"/>
      <c r="L15" s="183"/>
      <c r="M15" s="149"/>
      <c r="N15" s="183"/>
    </row>
    <row r="16" spans="1:19" x14ac:dyDescent="0.2">
      <c r="A16" s="144" t="s">
        <v>5</v>
      </c>
      <c r="B16" s="1"/>
      <c r="C16" s="1"/>
      <c r="D16" s="2"/>
      <c r="E16" s="208">
        <f>+(E13*$D$60)+(E14*$D$61)</f>
        <v>49374.25</v>
      </c>
      <c r="F16" s="317">
        <f>+(F13*$D$60)+(F14*$D$61)</f>
        <v>71531.739999999991</v>
      </c>
      <c r="G16" s="334">
        <f t="shared" ref="G16" si="0">+(G13*$D$60)+(G14*$D$61)</f>
        <v>71531.739999999991</v>
      </c>
      <c r="H16" s="150">
        <f>+(H13*$D$60)+(H14*D61)</f>
        <v>68961.53</v>
      </c>
      <c r="I16" s="184">
        <f>+(I13*$D$59)</f>
        <v>53550</v>
      </c>
      <c r="J16" s="150">
        <f>+(J13*$D$59)</f>
        <v>0</v>
      </c>
      <c r="K16" s="150">
        <f>+(K13*$D$60)+(K14*D61)</f>
        <v>71531.739999999991</v>
      </c>
      <c r="L16" s="184">
        <f>+(L13*$D$59)</f>
        <v>0</v>
      </c>
      <c r="M16" s="150">
        <f>+(M13*$D$59)</f>
        <v>0</v>
      </c>
      <c r="N16" s="184" t="e">
        <f>+(N13*$D$59)</f>
        <v>#REF!</v>
      </c>
    </row>
    <row r="17" spans="1:19" ht="13.5" thickBot="1" x14ac:dyDescent="0.25">
      <c r="A17" s="151" t="s">
        <v>6</v>
      </c>
      <c r="B17" s="8"/>
      <c r="C17" s="8"/>
      <c r="D17" s="9"/>
      <c r="E17" s="300">
        <f t="shared" ref="E17:F17" si="1">+E16*12</f>
        <v>592491</v>
      </c>
      <c r="F17" s="633">
        <f t="shared" si="1"/>
        <v>858380.87999999989</v>
      </c>
      <c r="G17" s="185">
        <f t="shared" ref="G17" si="2">+G16*12</f>
        <v>858380.87999999989</v>
      </c>
      <c r="H17" s="152">
        <f>+H16*12</f>
        <v>827538.36</v>
      </c>
      <c r="I17" s="185">
        <f t="shared" ref="I17" si="3">+I16*12</f>
        <v>642600</v>
      </c>
      <c r="J17" s="152">
        <f>+J16*12</f>
        <v>0</v>
      </c>
      <c r="K17" s="152">
        <f>+K16*12</f>
        <v>858380.87999999989</v>
      </c>
      <c r="L17" s="185">
        <f>+L16*12</f>
        <v>0</v>
      </c>
      <c r="M17" s="152">
        <f>+M16*12</f>
        <v>0</v>
      </c>
      <c r="N17" s="185" t="e">
        <f>+N16*12</f>
        <v>#REF!</v>
      </c>
    </row>
    <row r="18" spans="1:19" ht="13.5" thickTop="1" x14ac:dyDescent="0.2">
      <c r="A18" s="144" t="s">
        <v>7</v>
      </c>
      <c r="B18" s="1"/>
      <c r="C18" s="1"/>
      <c r="D18" s="2"/>
      <c r="E18" s="293">
        <v>2.88</v>
      </c>
      <c r="F18" s="634">
        <v>3.3</v>
      </c>
      <c r="G18" s="189" t="s">
        <v>41</v>
      </c>
      <c r="H18" s="160">
        <v>2.96</v>
      </c>
      <c r="I18" s="189">
        <v>4.79</v>
      </c>
      <c r="J18" s="160" t="s">
        <v>41</v>
      </c>
      <c r="K18" s="160" t="s">
        <v>41</v>
      </c>
      <c r="L18" s="189" t="s">
        <v>41</v>
      </c>
      <c r="M18" s="160" t="s">
        <v>41</v>
      </c>
      <c r="N18" s="189" t="s">
        <v>41</v>
      </c>
    </row>
    <row r="19" spans="1:19" x14ac:dyDescent="0.2">
      <c r="A19" s="144" t="s">
        <v>5</v>
      </c>
      <c r="B19" s="1"/>
      <c r="C19" s="1"/>
      <c r="D19" s="2"/>
      <c r="E19" s="208">
        <f>E18*$D$59</f>
        <v>2203.1999999999998</v>
      </c>
      <c r="F19" s="317">
        <f>F18*$D$59</f>
        <v>2524.5</v>
      </c>
      <c r="G19" s="184">
        <v>0</v>
      </c>
      <c r="H19" s="208">
        <f>H18*$D$59</f>
        <v>2264.4</v>
      </c>
      <c r="I19" s="208">
        <f>I18*$D$59</f>
        <v>3664.35</v>
      </c>
      <c r="J19" s="150">
        <v>0</v>
      </c>
      <c r="K19" s="150">
        <v>0</v>
      </c>
      <c r="L19" s="184">
        <v>0</v>
      </c>
      <c r="M19" s="150">
        <v>0</v>
      </c>
      <c r="N19" s="184">
        <v>0</v>
      </c>
    </row>
    <row r="20" spans="1:19" ht="13.5" thickBot="1" x14ac:dyDescent="0.25">
      <c r="A20" s="151" t="s">
        <v>6</v>
      </c>
      <c r="B20" s="8"/>
      <c r="C20" s="8"/>
      <c r="D20" s="9"/>
      <c r="E20" s="300">
        <f t="shared" ref="E20" si="4">+E19*12</f>
        <v>26438.399999999998</v>
      </c>
      <c r="F20" s="633">
        <f t="shared" ref="F20" si="5">+F19*12</f>
        <v>30294</v>
      </c>
      <c r="G20" s="185">
        <f t="shared" ref="G20" si="6">+G19*12</f>
        <v>0</v>
      </c>
      <c r="H20" s="152">
        <f>+H19*12</f>
        <v>27172.800000000003</v>
      </c>
      <c r="I20" s="185">
        <f t="shared" ref="I20" si="7">+I19*12</f>
        <v>43972.2</v>
      </c>
      <c r="J20" s="152">
        <f>+J19*12</f>
        <v>0</v>
      </c>
      <c r="K20" s="152">
        <f>+K19*12</f>
        <v>0</v>
      </c>
      <c r="L20" s="185">
        <f>+L19*12</f>
        <v>0</v>
      </c>
      <c r="M20" s="152">
        <f>+M19*12</f>
        <v>0</v>
      </c>
      <c r="N20" s="185">
        <f>+N19*12</f>
        <v>0</v>
      </c>
    </row>
    <row r="21" spans="1:19" ht="14.25" thickTop="1" thickBot="1" x14ac:dyDescent="0.25">
      <c r="A21" s="226" t="s">
        <v>114</v>
      </c>
      <c r="B21" s="1"/>
      <c r="C21" s="1"/>
      <c r="D21" s="2"/>
      <c r="E21" s="301" t="s">
        <v>34</v>
      </c>
      <c r="F21" s="635" t="s">
        <v>34</v>
      </c>
      <c r="G21" s="310" t="s">
        <v>34</v>
      </c>
      <c r="H21" s="225" t="s">
        <v>34</v>
      </c>
      <c r="I21" s="310" t="s">
        <v>34</v>
      </c>
      <c r="J21" s="225" t="s">
        <v>34</v>
      </c>
      <c r="K21" s="225" t="s">
        <v>34</v>
      </c>
      <c r="L21" s="310" t="s">
        <v>34</v>
      </c>
      <c r="M21" s="225" t="s">
        <v>34</v>
      </c>
      <c r="N21" s="310" t="s">
        <v>34</v>
      </c>
    </row>
    <row r="22" spans="1:19" ht="13.5" thickTop="1" x14ac:dyDescent="0.2">
      <c r="A22" s="153" t="s">
        <v>8</v>
      </c>
      <c r="B22" s="51"/>
      <c r="C22" s="51"/>
      <c r="D22" s="52"/>
      <c r="E22" s="197"/>
      <c r="F22" s="636"/>
      <c r="G22" s="186"/>
      <c r="H22" s="154"/>
      <c r="I22" s="186"/>
      <c r="J22" s="154"/>
      <c r="K22" s="154"/>
      <c r="L22" s="186"/>
      <c r="M22" s="154"/>
      <c r="N22" s="186"/>
    </row>
    <row r="23" spans="1:19" x14ac:dyDescent="0.2">
      <c r="A23" s="155" t="s">
        <v>9</v>
      </c>
      <c r="B23" s="11"/>
      <c r="C23" s="11"/>
      <c r="D23" s="12"/>
      <c r="E23" s="318">
        <v>1134.78</v>
      </c>
      <c r="F23" s="637">
        <v>1270.71</v>
      </c>
      <c r="G23" s="659">
        <v>0</v>
      </c>
      <c r="H23" s="156">
        <v>1135.0999999999999</v>
      </c>
      <c r="I23" s="187">
        <v>1130.9000000000001</v>
      </c>
      <c r="J23" s="156">
        <v>0</v>
      </c>
      <c r="K23" s="156">
        <v>0</v>
      </c>
      <c r="L23" s="187">
        <v>0</v>
      </c>
      <c r="M23" s="156">
        <v>0</v>
      </c>
      <c r="N23" s="187">
        <v>0</v>
      </c>
      <c r="S23" s="36">
        <f>E23-F23</f>
        <v>-135.93000000000006</v>
      </c>
    </row>
    <row r="24" spans="1:19" x14ac:dyDescent="0.2">
      <c r="A24" s="155" t="s">
        <v>10</v>
      </c>
      <c r="B24" s="11"/>
      <c r="C24" s="11"/>
      <c r="D24" s="12"/>
      <c r="E24" s="198">
        <v>0</v>
      </c>
      <c r="F24" s="638">
        <v>0</v>
      </c>
      <c r="G24" s="187">
        <v>0</v>
      </c>
      <c r="H24" s="156">
        <v>0</v>
      </c>
      <c r="I24" s="187">
        <v>0</v>
      </c>
      <c r="J24" s="156">
        <v>0</v>
      </c>
      <c r="K24" s="156">
        <v>0</v>
      </c>
      <c r="L24" s="187">
        <v>0</v>
      </c>
      <c r="M24" s="156">
        <v>0</v>
      </c>
      <c r="N24" s="187">
        <v>0</v>
      </c>
      <c r="S24">
        <f>S23/E23</f>
        <v>-0.11978533283984567</v>
      </c>
    </row>
    <row r="25" spans="1:19" x14ac:dyDescent="0.2">
      <c r="A25" s="155" t="s">
        <v>11</v>
      </c>
      <c r="B25" s="11"/>
      <c r="C25" s="11"/>
      <c r="D25" s="177"/>
      <c r="E25" s="198">
        <f>E23*D59</f>
        <v>868106.7</v>
      </c>
      <c r="F25" s="639">
        <f t="shared" ref="F25:N25" si="8">+(F23*$D$59)</f>
        <v>972093.15</v>
      </c>
      <c r="G25" s="172">
        <f t="shared" si="8"/>
        <v>0</v>
      </c>
      <c r="H25" s="157">
        <f t="shared" si="8"/>
        <v>868351.49999999988</v>
      </c>
      <c r="I25" s="172">
        <f t="shared" si="8"/>
        <v>865138.50000000012</v>
      </c>
      <c r="J25" s="157">
        <f t="shared" si="8"/>
        <v>0</v>
      </c>
      <c r="K25" s="157">
        <f t="shared" si="8"/>
        <v>0</v>
      </c>
      <c r="L25" s="172">
        <f t="shared" si="8"/>
        <v>0</v>
      </c>
      <c r="M25" s="157">
        <f t="shared" si="8"/>
        <v>0</v>
      </c>
      <c r="N25" s="172">
        <f t="shared" si="8"/>
        <v>0</v>
      </c>
    </row>
    <row r="26" spans="1:19" ht="13.5" thickBot="1" x14ac:dyDescent="0.25">
      <c r="A26" s="173" t="s">
        <v>12</v>
      </c>
      <c r="B26" s="174"/>
      <c r="C26" s="174"/>
      <c r="D26" s="175"/>
      <c r="E26" s="199">
        <f>E25*12</f>
        <v>10417280.399999999</v>
      </c>
      <c r="F26" s="640">
        <f>+F25*12</f>
        <v>11665117.800000001</v>
      </c>
      <c r="G26" s="311">
        <f>+G25*12</f>
        <v>0</v>
      </c>
      <c r="H26" s="224">
        <f t="shared" ref="H26" si="9">+H25*12</f>
        <v>10420217.999999998</v>
      </c>
      <c r="I26" s="311">
        <f t="shared" ref="I26:N26" si="10">+I25*12</f>
        <v>10381662.000000002</v>
      </c>
      <c r="J26" s="224">
        <f t="shared" si="10"/>
        <v>0</v>
      </c>
      <c r="K26" s="224">
        <f t="shared" si="10"/>
        <v>0</v>
      </c>
      <c r="L26" s="311">
        <f t="shared" si="10"/>
        <v>0</v>
      </c>
      <c r="M26" s="224">
        <f t="shared" si="10"/>
        <v>0</v>
      </c>
      <c r="N26" s="311">
        <f t="shared" si="10"/>
        <v>0</v>
      </c>
    </row>
    <row r="27" spans="1:19" ht="14.25" thickTop="1" thickBot="1" x14ac:dyDescent="0.25">
      <c r="A27" s="169" t="s">
        <v>448</v>
      </c>
      <c r="B27" s="11"/>
      <c r="C27" s="11"/>
      <c r="D27" s="12"/>
      <c r="E27" s="193">
        <f>E26/1.25</f>
        <v>8333824.3199999984</v>
      </c>
      <c r="F27" s="639">
        <f>F26/1.25</f>
        <v>9332094.2400000002</v>
      </c>
      <c r="G27" s="172">
        <f>G26/1.25</f>
        <v>0</v>
      </c>
      <c r="H27" s="157">
        <f t="shared" ref="H27" si="11">H26/1.25</f>
        <v>8336174.3999999985</v>
      </c>
      <c r="I27" s="172">
        <f t="shared" ref="I27" si="12">I26/1.25</f>
        <v>8305329.6000000015</v>
      </c>
      <c r="J27" s="157">
        <f>J26/1.25</f>
        <v>0</v>
      </c>
      <c r="K27" s="157">
        <f>K26/1.25</f>
        <v>0</v>
      </c>
      <c r="L27" s="172">
        <f>L26/1.25</f>
        <v>0</v>
      </c>
      <c r="M27" s="157">
        <f>M26/1.25</f>
        <v>0</v>
      </c>
      <c r="N27" s="172">
        <f>N26/1.25</f>
        <v>0</v>
      </c>
      <c r="P27" s="36">
        <f>32.48+J13</f>
        <v>32.479999999999997</v>
      </c>
      <c r="Q27" s="36">
        <f>36.35+J13</f>
        <v>36.35</v>
      </c>
    </row>
    <row r="28" spans="1:19" ht="13.5" hidden="1" thickBot="1" x14ac:dyDescent="0.25">
      <c r="A28" s="169" t="s">
        <v>117</v>
      </c>
      <c r="B28" s="11"/>
      <c r="C28" s="11"/>
      <c r="D28" s="12"/>
      <c r="E28" s="302" t="s">
        <v>34</v>
      </c>
      <c r="F28" s="639">
        <v>4908989</v>
      </c>
      <c r="G28" s="172">
        <v>4908989</v>
      </c>
      <c r="H28" s="157">
        <v>4908989</v>
      </c>
      <c r="I28" s="172">
        <v>4908989</v>
      </c>
      <c r="J28" s="157">
        <v>4908989</v>
      </c>
      <c r="K28" s="157">
        <v>4908989</v>
      </c>
      <c r="L28" s="172">
        <v>4908989</v>
      </c>
      <c r="M28" s="157">
        <v>4908989</v>
      </c>
      <c r="N28" s="172">
        <v>4908989</v>
      </c>
      <c r="P28" s="36"/>
      <c r="Q28" s="36"/>
    </row>
    <row r="29" spans="1:19" ht="14.25" thickTop="1" thickBot="1" x14ac:dyDescent="0.25">
      <c r="A29" s="158"/>
      <c r="B29" s="15"/>
      <c r="C29" s="15"/>
      <c r="D29" s="16"/>
      <c r="E29" s="303"/>
      <c r="F29" s="641"/>
      <c r="G29" s="660"/>
      <c r="H29" s="159"/>
      <c r="I29" s="188"/>
      <c r="J29" s="159"/>
      <c r="K29" s="159"/>
      <c r="L29" s="188"/>
      <c r="M29" s="159"/>
      <c r="N29" s="188"/>
    </row>
    <row r="30" spans="1:19" s="80" customFormat="1" ht="13.5" thickTop="1" x14ac:dyDescent="0.2">
      <c r="A30" s="226" t="s">
        <v>470</v>
      </c>
      <c r="B30" s="1"/>
      <c r="C30" s="1"/>
      <c r="D30" s="2"/>
      <c r="E30" s="292">
        <f>13.25+1</f>
        <v>14.25</v>
      </c>
      <c r="F30" s="642">
        <f>13.25+1</f>
        <v>14.25</v>
      </c>
      <c r="G30" s="289">
        <v>12.5</v>
      </c>
      <c r="H30" s="237">
        <v>26.15</v>
      </c>
      <c r="I30" s="289">
        <v>46.46</v>
      </c>
      <c r="J30" s="237">
        <v>0</v>
      </c>
      <c r="K30" s="237">
        <v>50.46</v>
      </c>
      <c r="L30" s="542"/>
      <c r="M30" s="462"/>
      <c r="N30" s="312">
        <v>0</v>
      </c>
    </row>
    <row r="31" spans="1:19" s="80" customFormat="1" x14ac:dyDescent="0.2">
      <c r="A31" s="226" t="s">
        <v>471</v>
      </c>
      <c r="B31" s="1"/>
      <c r="C31" s="1"/>
      <c r="D31" s="2"/>
      <c r="E31" s="292">
        <v>0</v>
      </c>
      <c r="F31" s="642">
        <v>0</v>
      </c>
      <c r="G31" s="289" t="s">
        <v>34</v>
      </c>
      <c r="H31" s="237" t="s">
        <v>41</v>
      </c>
      <c r="I31" s="289"/>
      <c r="J31" s="237"/>
      <c r="K31" s="237"/>
      <c r="L31" s="542"/>
      <c r="M31" s="462"/>
      <c r="N31" s="312"/>
    </row>
    <row r="32" spans="1:19" x14ac:dyDescent="0.2">
      <c r="A32" s="226" t="s">
        <v>469</v>
      </c>
      <c r="B32" s="1"/>
      <c r="C32" s="1"/>
      <c r="D32" s="2"/>
      <c r="E32" s="292">
        <v>14.2</v>
      </c>
      <c r="F32" s="642">
        <v>14.2</v>
      </c>
      <c r="G32" s="289">
        <v>10.5</v>
      </c>
      <c r="H32" s="237" t="s">
        <v>41</v>
      </c>
      <c r="I32" s="289" t="s">
        <v>172</v>
      </c>
      <c r="J32" s="237">
        <v>0</v>
      </c>
      <c r="K32" s="237" t="s">
        <v>41</v>
      </c>
      <c r="L32" s="290">
        <v>0</v>
      </c>
      <c r="M32" s="237">
        <v>0</v>
      </c>
      <c r="N32" s="289" t="s">
        <v>172</v>
      </c>
    </row>
    <row r="33" spans="1:14" x14ac:dyDescent="0.2">
      <c r="A33" s="226" t="s">
        <v>388</v>
      </c>
      <c r="B33" s="1"/>
      <c r="C33" s="1"/>
      <c r="D33" s="25"/>
      <c r="E33" s="292">
        <v>0</v>
      </c>
      <c r="F33" s="642">
        <v>0</v>
      </c>
      <c r="G33" s="289">
        <v>0</v>
      </c>
      <c r="H33" s="237" t="s">
        <v>41</v>
      </c>
      <c r="I33" s="289">
        <v>-22</v>
      </c>
      <c r="J33" s="237">
        <v>0</v>
      </c>
      <c r="K33" s="237">
        <v>-19.72</v>
      </c>
      <c r="L33" s="290"/>
      <c r="M33" s="237"/>
      <c r="N33" s="289" t="s">
        <v>41</v>
      </c>
    </row>
    <row r="34" spans="1:14" x14ac:dyDescent="0.2">
      <c r="A34" s="144" t="s">
        <v>83</v>
      </c>
      <c r="B34" s="1"/>
      <c r="C34" s="1"/>
      <c r="D34" s="25"/>
      <c r="E34" s="293">
        <v>4</v>
      </c>
      <c r="F34" s="634">
        <v>4</v>
      </c>
      <c r="G34" s="189" t="s">
        <v>41</v>
      </c>
      <c r="H34" s="237" t="s">
        <v>41</v>
      </c>
      <c r="I34" s="189" t="s">
        <v>41</v>
      </c>
      <c r="J34" s="237" t="s">
        <v>41</v>
      </c>
      <c r="K34" s="160" t="s">
        <v>41</v>
      </c>
      <c r="L34" s="238" t="s">
        <v>41</v>
      </c>
      <c r="M34" s="160" t="s">
        <v>41</v>
      </c>
      <c r="N34" s="289" t="s">
        <v>172</v>
      </c>
    </row>
    <row r="35" spans="1:14" x14ac:dyDescent="0.2">
      <c r="A35" s="144" t="s">
        <v>42</v>
      </c>
      <c r="B35" s="1"/>
      <c r="C35" s="1"/>
      <c r="D35" s="25"/>
      <c r="E35" s="293">
        <v>1.5</v>
      </c>
      <c r="F35" s="634">
        <v>1.5</v>
      </c>
      <c r="G35" s="189">
        <v>5.25</v>
      </c>
      <c r="H35" s="160">
        <v>4.25</v>
      </c>
      <c r="I35" s="189" t="s">
        <v>41</v>
      </c>
      <c r="J35" s="160" t="s">
        <v>41</v>
      </c>
      <c r="K35" s="160">
        <v>3</v>
      </c>
      <c r="L35" s="238" t="s">
        <v>41</v>
      </c>
      <c r="M35" s="160" t="s">
        <v>41</v>
      </c>
      <c r="N35" s="189" t="s">
        <v>41</v>
      </c>
    </row>
    <row r="36" spans="1:14" x14ac:dyDescent="0.2">
      <c r="A36" s="226" t="s">
        <v>484</v>
      </c>
      <c r="B36" s="1"/>
      <c r="C36" s="1"/>
      <c r="D36" s="25"/>
      <c r="E36" s="293">
        <v>0.99</v>
      </c>
      <c r="F36" s="634">
        <v>0.99</v>
      </c>
      <c r="G36" s="189">
        <v>0.5</v>
      </c>
      <c r="H36" s="160">
        <v>1.3</v>
      </c>
      <c r="I36" s="189" t="s">
        <v>41</v>
      </c>
      <c r="J36" s="160" t="s">
        <v>41</v>
      </c>
      <c r="K36" s="160" t="s">
        <v>41</v>
      </c>
      <c r="L36" s="238" t="s">
        <v>41</v>
      </c>
      <c r="M36" s="160" t="s">
        <v>41</v>
      </c>
      <c r="N36" s="189" t="s">
        <v>41</v>
      </c>
    </row>
    <row r="37" spans="1:14" hidden="1" x14ac:dyDescent="0.2">
      <c r="A37" s="226" t="s">
        <v>384</v>
      </c>
      <c r="B37" s="1"/>
      <c r="C37" s="1"/>
      <c r="D37" s="25"/>
      <c r="E37" s="292" t="s">
        <v>505</v>
      </c>
      <c r="F37" s="642" t="s">
        <v>505</v>
      </c>
      <c r="G37" s="289" t="s">
        <v>505</v>
      </c>
      <c r="H37" s="237" t="s">
        <v>505</v>
      </c>
      <c r="I37" s="289" t="s">
        <v>41</v>
      </c>
      <c r="J37" s="160" t="s">
        <v>41</v>
      </c>
      <c r="K37" s="237" t="s">
        <v>41</v>
      </c>
      <c r="L37" s="238"/>
      <c r="M37" s="160"/>
      <c r="N37" s="289" t="s">
        <v>385</v>
      </c>
    </row>
    <row r="38" spans="1:14" x14ac:dyDescent="0.2">
      <c r="A38" s="226" t="s">
        <v>476</v>
      </c>
      <c r="B38" s="1"/>
      <c r="C38" s="1"/>
      <c r="D38" s="25"/>
      <c r="E38" s="293">
        <v>3.7</v>
      </c>
      <c r="F38" s="634">
        <v>3.7</v>
      </c>
      <c r="G38" s="189">
        <v>4.5</v>
      </c>
      <c r="H38" s="237">
        <v>3</v>
      </c>
      <c r="I38" s="289" t="s">
        <v>41</v>
      </c>
      <c r="J38" s="237" t="s">
        <v>451</v>
      </c>
      <c r="K38" s="237" t="s">
        <v>41</v>
      </c>
      <c r="L38" s="238">
        <v>5.94</v>
      </c>
      <c r="M38" s="160" t="e">
        <f>#REF!</f>
        <v>#REF!</v>
      </c>
      <c r="N38" s="189">
        <v>0</v>
      </c>
    </row>
    <row r="39" spans="1:14" x14ac:dyDescent="0.2">
      <c r="A39" s="226" t="s">
        <v>17</v>
      </c>
      <c r="B39" s="1"/>
      <c r="C39" s="1"/>
      <c r="D39" s="25"/>
      <c r="E39" s="293">
        <v>0</v>
      </c>
      <c r="F39" s="634">
        <v>0</v>
      </c>
      <c r="G39" s="189"/>
      <c r="H39" s="237" t="s">
        <v>41</v>
      </c>
      <c r="I39" s="289">
        <v>0.55000000000000004</v>
      </c>
      <c r="J39" s="237"/>
      <c r="K39" s="237">
        <f>(((75*12)+(50*12))/D59)/12</f>
        <v>0.16339869281045752</v>
      </c>
      <c r="L39" s="238"/>
      <c r="M39" s="160"/>
      <c r="N39" s="189"/>
    </row>
    <row r="40" spans="1:14" x14ac:dyDescent="0.2">
      <c r="A40" s="226" t="s">
        <v>475</v>
      </c>
      <c r="B40" s="1"/>
      <c r="C40" s="1"/>
      <c r="D40" s="25"/>
      <c r="E40" s="293">
        <f>((1*$D$59)/12)/$D$59</f>
        <v>8.3333333333333329E-2</v>
      </c>
      <c r="F40" s="634">
        <f>E40</f>
        <v>8.3333333333333329E-2</v>
      </c>
      <c r="G40" s="289" t="s">
        <v>41</v>
      </c>
      <c r="H40" s="237">
        <v>0.1</v>
      </c>
      <c r="I40" s="289"/>
      <c r="J40" s="237"/>
      <c r="K40" s="237"/>
      <c r="L40" s="238"/>
      <c r="M40" s="160"/>
      <c r="N40" s="189"/>
    </row>
    <row r="41" spans="1:14" x14ac:dyDescent="0.2">
      <c r="A41" s="226" t="s">
        <v>523</v>
      </c>
      <c r="B41" s="1"/>
      <c r="C41" s="1"/>
      <c r="D41" s="25"/>
      <c r="E41" s="293"/>
      <c r="F41" s="634"/>
      <c r="G41" s="289"/>
      <c r="H41" s="237"/>
      <c r="I41" s="289"/>
      <c r="J41" s="237"/>
      <c r="K41" s="237">
        <f>5000/D59/12</f>
        <v>0.54466230936819171</v>
      </c>
      <c r="L41" s="238"/>
      <c r="M41" s="160"/>
      <c r="N41" s="189"/>
    </row>
    <row r="42" spans="1:14" x14ac:dyDescent="0.2">
      <c r="A42" s="144" t="s">
        <v>5</v>
      </c>
      <c r="B42" s="1"/>
      <c r="C42" s="1"/>
      <c r="D42" s="25"/>
      <c r="E42" s="208">
        <f>(E30+E31+E32+E33+E34+E35+E38+E40+E36)*$D$59</f>
        <v>29623.350000000009</v>
      </c>
      <c r="F42" s="317">
        <f>(F30+F31+F32+F33+F34+F35+F38+F40+F36)*$D$59</f>
        <v>29623.350000000009</v>
      </c>
      <c r="G42" s="184">
        <f>(G30+G32+G35+G38+G36)*D59</f>
        <v>25436.25</v>
      </c>
      <c r="H42" s="150" t="e">
        <f>(164*#REF!)+(361*H30)+(54*H38)</f>
        <v>#REF!</v>
      </c>
      <c r="I42" s="150" t="e">
        <f>(($D$60+$D$61)*#REF!)+(($D$62)*I30)</f>
        <v>#REF!</v>
      </c>
      <c r="J42" s="150">
        <f>(((J30+J32+J33)*D59)+(0*D62))</f>
        <v>0</v>
      </c>
      <c r="K42" s="150">
        <f>(K30+K33+K39*K30)*D59</f>
        <v>29823.599999999999</v>
      </c>
      <c r="L42" s="463" t="e">
        <f>($D$59*#REF!)+($D$60*#REF!)+($D$61*#REF!)+($D$62*L32)+($D$62*L38)</f>
        <v>#REF!</v>
      </c>
      <c r="M42" s="463" t="e">
        <f>($D$59*#REF!)+($D$60*#REF!)+($D$61*#REF!)+($D$62*M32)+($D$62*M38)</f>
        <v>#REF!</v>
      </c>
      <c r="N42" s="463" t="e">
        <f>(($D$60+$D$61)*#REF!)+(($D$62+N38)*N30)</f>
        <v>#REF!</v>
      </c>
    </row>
    <row r="43" spans="1:14" ht="13.5" thickBot="1" x14ac:dyDescent="0.25">
      <c r="A43" s="151" t="s">
        <v>6</v>
      </c>
      <c r="B43" s="8"/>
      <c r="C43" s="8"/>
      <c r="D43" s="9"/>
      <c r="E43" s="300">
        <f>+E42*12</f>
        <v>355480.20000000013</v>
      </c>
      <c r="F43" s="633">
        <f>+F42*12</f>
        <v>355480.20000000013</v>
      </c>
      <c r="G43" s="185">
        <f>+G42*12</f>
        <v>305235</v>
      </c>
      <c r="H43" s="152" t="e">
        <f t="shared" ref="H43" si="13">+H42*12</f>
        <v>#REF!</v>
      </c>
      <c r="I43" s="185" t="e">
        <f t="shared" ref="I43" si="14">+I42*12</f>
        <v>#REF!</v>
      </c>
      <c r="J43" s="152">
        <f>+J42*12</f>
        <v>0</v>
      </c>
      <c r="K43" s="152">
        <f>+K42*12</f>
        <v>357883.19999999995</v>
      </c>
      <c r="L43" s="335" t="e">
        <f>+L42*12</f>
        <v>#REF!</v>
      </c>
      <c r="M43" s="152" t="e">
        <f>+M42*12</f>
        <v>#REF!</v>
      </c>
      <c r="N43" s="185" t="e">
        <f>+N42*12</f>
        <v>#REF!</v>
      </c>
    </row>
    <row r="44" spans="1:14" ht="13.5" thickTop="1" x14ac:dyDescent="0.2">
      <c r="A44" s="147" t="s">
        <v>13</v>
      </c>
      <c r="B44" s="1"/>
      <c r="C44" s="1"/>
      <c r="D44" s="2"/>
      <c r="E44" s="208">
        <f>+E16+E19+E42</f>
        <v>81200.800000000003</v>
      </c>
      <c r="F44" s="317">
        <f t="shared" ref="F44:N44" si="15">+F16+F19+F42</f>
        <v>103679.59</v>
      </c>
      <c r="G44" s="184">
        <f t="shared" si="15"/>
        <v>96967.989999999991</v>
      </c>
      <c r="H44" s="150" t="e">
        <f t="shared" si="15"/>
        <v>#REF!</v>
      </c>
      <c r="I44" s="184" t="e">
        <f t="shared" si="15"/>
        <v>#REF!</v>
      </c>
      <c r="J44" s="150">
        <f t="shared" si="15"/>
        <v>0</v>
      </c>
      <c r="K44" s="150">
        <f t="shared" si="15"/>
        <v>101355.34</v>
      </c>
      <c r="L44" s="184" t="e">
        <f t="shared" si="15"/>
        <v>#REF!</v>
      </c>
      <c r="M44" s="150" t="e">
        <f t="shared" si="15"/>
        <v>#REF!</v>
      </c>
      <c r="N44" s="184" t="e">
        <f t="shared" si="15"/>
        <v>#REF!</v>
      </c>
    </row>
    <row r="45" spans="1:14" ht="13.5" thickBot="1" x14ac:dyDescent="0.25">
      <c r="A45" s="161" t="s">
        <v>14</v>
      </c>
      <c r="B45" s="8"/>
      <c r="C45" s="8"/>
      <c r="D45" s="9"/>
      <c r="E45" s="300">
        <f t="shared" ref="E45:F45" si="16">+E44*12</f>
        <v>974409.60000000009</v>
      </c>
      <c r="F45" s="633">
        <f t="shared" si="16"/>
        <v>1244155.08</v>
      </c>
      <c r="G45" s="185">
        <f t="shared" ref="G45" si="17">+G44*12</f>
        <v>1163615.8799999999</v>
      </c>
      <c r="H45" s="152" t="e">
        <f t="shared" ref="H45:N45" si="18">+H44*12</f>
        <v>#REF!</v>
      </c>
      <c r="I45" s="185" t="e">
        <f t="shared" si="18"/>
        <v>#REF!</v>
      </c>
      <c r="J45" s="152">
        <f t="shared" si="18"/>
        <v>0</v>
      </c>
      <c r="K45" s="152">
        <f t="shared" si="18"/>
        <v>1216264.08</v>
      </c>
      <c r="L45" s="185" t="e">
        <f t="shared" si="18"/>
        <v>#REF!</v>
      </c>
      <c r="M45" s="152" t="e">
        <f t="shared" si="18"/>
        <v>#REF!</v>
      </c>
      <c r="N45" s="185" t="e">
        <f t="shared" si="18"/>
        <v>#REF!</v>
      </c>
    </row>
    <row r="46" spans="1:14" ht="13.5" thickTop="1" x14ac:dyDescent="0.2">
      <c r="A46" s="164" t="s">
        <v>97</v>
      </c>
      <c r="B46" s="18"/>
      <c r="C46" s="18"/>
      <c r="D46" s="19"/>
      <c r="E46" s="305">
        <f t="shared" ref="E46:N46" si="19">+(E25+E44)</f>
        <v>949307.5</v>
      </c>
      <c r="F46" s="643">
        <f t="shared" si="19"/>
        <v>1075772.74</v>
      </c>
      <c r="G46" s="190">
        <f t="shared" si="19"/>
        <v>96967.989999999991</v>
      </c>
      <c r="H46" s="162" t="e">
        <f t="shared" si="19"/>
        <v>#REF!</v>
      </c>
      <c r="I46" s="190" t="e">
        <f t="shared" si="19"/>
        <v>#REF!</v>
      </c>
      <c r="J46" s="162">
        <f t="shared" si="19"/>
        <v>0</v>
      </c>
      <c r="K46" s="162">
        <f t="shared" si="19"/>
        <v>101355.34</v>
      </c>
      <c r="L46" s="190" t="e">
        <f t="shared" si="19"/>
        <v>#REF!</v>
      </c>
      <c r="M46" s="162" t="e">
        <f t="shared" si="19"/>
        <v>#REF!</v>
      </c>
      <c r="N46" s="190" t="e">
        <f t="shared" si="19"/>
        <v>#REF!</v>
      </c>
    </row>
    <row r="47" spans="1:14" ht="13.5" thickBot="1" x14ac:dyDescent="0.25">
      <c r="A47" s="194" t="s">
        <v>98</v>
      </c>
      <c r="B47" s="21"/>
      <c r="C47" s="21"/>
      <c r="D47" s="22"/>
      <c r="E47" s="195">
        <f t="shared" ref="E47:F47" si="20">+E46*12</f>
        <v>11391690</v>
      </c>
      <c r="F47" s="644">
        <f t="shared" si="20"/>
        <v>12909272.879999999</v>
      </c>
      <c r="G47" s="191">
        <f t="shared" ref="G47" si="21">+G46*12</f>
        <v>1163615.8799999999</v>
      </c>
      <c r="H47" s="163" t="e">
        <f t="shared" ref="H47:N47" si="22">+H46*12</f>
        <v>#REF!</v>
      </c>
      <c r="I47" s="191" t="e">
        <f t="shared" si="22"/>
        <v>#REF!</v>
      </c>
      <c r="J47" s="163">
        <f t="shared" si="22"/>
        <v>0</v>
      </c>
      <c r="K47" s="163">
        <f t="shared" si="22"/>
        <v>1216264.08</v>
      </c>
      <c r="L47" s="191" t="e">
        <f t="shared" si="22"/>
        <v>#REF!</v>
      </c>
      <c r="M47" s="163" t="e">
        <f t="shared" si="22"/>
        <v>#REF!</v>
      </c>
      <c r="N47" s="191" t="e">
        <f t="shared" si="22"/>
        <v>#REF!</v>
      </c>
    </row>
    <row r="48" spans="1:14" ht="14.25" thickTop="1" thickBot="1" x14ac:dyDescent="0.25">
      <c r="A48" s="590" t="s">
        <v>439</v>
      </c>
      <c r="B48" s="591"/>
      <c r="C48" s="591"/>
      <c r="D48" s="592"/>
      <c r="E48" s="593">
        <v>0</v>
      </c>
      <c r="F48" s="645">
        <v>0</v>
      </c>
      <c r="G48" s="661">
        <f>F48</f>
        <v>0</v>
      </c>
      <c r="H48" s="594">
        <f>I48</f>
        <v>0</v>
      </c>
      <c r="I48" s="594">
        <f>F48</f>
        <v>0</v>
      </c>
      <c r="J48" s="594">
        <f>H48</f>
        <v>0</v>
      </c>
      <c r="K48" s="594" t="e">
        <f>N48</f>
        <v>#REF!</v>
      </c>
      <c r="L48" s="313">
        <v>76923</v>
      </c>
      <c r="M48" s="464">
        <f>F48</f>
        <v>0</v>
      </c>
      <c r="N48" s="313" t="e">
        <f>#REF!</f>
        <v>#REF!</v>
      </c>
    </row>
    <row r="49" spans="1:17" x14ac:dyDescent="0.2">
      <c r="A49" s="508" t="s">
        <v>483</v>
      </c>
      <c r="B49" s="654"/>
      <c r="C49" s="654"/>
      <c r="D49" s="655"/>
      <c r="E49" s="656" t="s">
        <v>34</v>
      </c>
      <c r="F49" s="657" t="s">
        <v>34</v>
      </c>
      <c r="G49" s="662">
        <v>25000</v>
      </c>
      <c r="H49" s="658">
        <v>25000</v>
      </c>
      <c r="I49" s="658">
        <v>25000</v>
      </c>
      <c r="J49" s="658">
        <f>I49</f>
        <v>25000</v>
      </c>
      <c r="K49" s="658">
        <f>H49</f>
        <v>25000</v>
      </c>
      <c r="L49" s="589"/>
      <c r="M49" s="589"/>
      <c r="N49" s="589"/>
    </row>
    <row r="50" spans="1:17" x14ac:dyDescent="0.2">
      <c r="A50" s="226"/>
      <c r="B50" s="1"/>
      <c r="C50" s="1"/>
      <c r="D50" s="25"/>
      <c r="E50" s="651"/>
      <c r="F50" s="652"/>
      <c r="G50" s="663"/>
      <c r="H50" s="463"/>
      <c r="I50" s="653"/>
      <c r="J50" s="463"/>
      <c r="K50" s="463"/>
      <c r="L50" s="589"/>
      <c r="M50" s="589"/>
      <c r="N50" s="589"/>
    </row>
    <row r="51" spans="1:17" ht="13.5" thickBot="1" x14ac:dyDescent="0.25">
      <c r="A51" s="194" t="s">
        <v>151</v>
      </c>
      <c r="B51" s="218"/>
      <c r="C51" s="196"/>
      <c r="D51" s="196"/>
      <c r="E51" s="306">
        <f t="shared" ref="E51:N51" si="23">+(E26+E45+E48)</f>
        <v>11391689.999999998</v>
      </c>
      <c r="F51" s="644">
        <f t="shared" si="23"/>
        <v>12909272.880000001</v>
      </c>
      <c r="G51" s="191">
        <f t="shared" si="23"/>
        <v>1163615.8799999999</v>
      </c>
      <c r="H51" s="163" t="e">
        <f t="shared" si="23"/>
        <v>#REF!</v>
      </c>
      <c r="I51" s="191" t="e">
        <f t="shared" si="23"/>
        <v>#REF!</v>
      </c>
      <c r="J51" s="163">
        <f t="shared" si="23"/>
        <v>0</v>
      </c>
      <c r="K51" s="163" t="e">
        <f t="shared" si="23"/>
        <v>#REF!</v>
      </c>
      <c r="L51" s="191" t="e">
        <f t="shared" si="23"/>
        <v>#REF!</v>
      </c>
      <c r="M51" s="163" t="e">
        <f t="shared" si="23"/>
        <v>#REF!</v>
      </c>
      <c r="N51" s="191" t="e">
        <f t="shared" si="23"/>
        <v>#REF!</v>
      </c>
    </row>
    <row r="52" spans="1:17" ht="14.25" thickTop="1" thickBot="1" x14ac:dyDescent="0.25">
      <c r="A52" s="194" t="s">
        <v>102</v>
      </c>
      <c r="B52" s="218"/>
      <c r="C52" s="196"/>
      <c r="D52" s="196"/>
      <c r="E52" s="307" t="s">
        <v>34</v>
      </c>
      <c r="F52" s="646">
        <f t="shared" ref="F52" si="24">($E$51-F51)/-$E$51</f>
        <v>0.13321841447581553</v>
      </c>
      <c r="G52" s="314">
        <f t="shared" ref="G52" si="25">($E$51-G51)/-$E$51</f>
        <v>-0.89785397250100718</v>
      </c>
      <c r="H52" s="210" t="e">
        <f>($E$51-H51)/-$E$51</f>
        <v>#REF!</v>
      </c>
      <c r="I52" s="314" t="e">
        <f t="shared" ref="I52" si="26">($E$51-I51)/-$E$51</f>
        <v>#REF!</v>
      </c>
      <c r="J52" s="210">
        <f>($E$51-J51)/-$E$51</f>
        <v>-1</v>
      </c>
      <c r="K52" s="210" t="e">
        <f>($E$51-K51)/-$E$51</f>
        <v>#REF!</v>
      </c>
      <c r="L52" s="314" t="e">
        <f>($E$51-L51)/-$E$51</f>
        <v>#REF!</v>
      </c>
      <c r="M52" s="210" t="e">
        <f>($E$51-M51)/-$E$51</f>
        <v>#REF!</v>
      </c>
      <c r="N52" s="314" t="e">
        <f>($E$51-N51)/-$E$51</f>
        <v>#REF!</v>
      </c>
    </row>
    <row r="53" spans="1:17" ht="14.25" thickTop="1" thickBot="1" x14ac:dyDescent="0.25">
      <c r="A53" s="165" t="s">
        <v>119</v>
      </c>
      <c r="B53" s="166"/>
      <c r="C53" s="219"/>
      <c r="D53" s="221"/>
      <c r="E53" s="308" t="s">
        <v>34</v>
      </c>
      <c r="F53" s="647">
        <f>F51-E51</f>
        <v>1517582.8800000027</v>
      </c>
      <c r="G53" s="315">
        <f>G51-E51</f>
        <v>-10228074.119999997</v>
      </c>
      <c r="H53" s="211" t="e">
        <f>H51-E51</f>
        <v>#REF!</v>
      </c>
      <c r="I53" s="315" t="e">
        <f>I51-E51</f>
        <v>#REF!</v>
      </c>
      <c r="J53" s="211">
        <f>J51-E51</f>
        <v>-11391689.999999998</v>
      </c>
      <c r="K53" s="211" t="e">
        <f>K51-E51</f>
        <v>#REF!</v>
      </c>
      <c r="L53" s="315" t="e">
        <f>L51-E51</f>
        <v>#REF!</v>
      </c>
      <c r="M53" s="211" t="e">
        <f>M51-E51</f>
        <v>#REF!</v>
      </c>
      <c r="N53" s="315" t="e">
        <f>N51-E51</f>
        <v>#REF!</v>
      </c>
    </row>
    <row r="54" spans="1:17" ht="13.5" thickBot="1" x14ac:dyDescent="0.25">
      <c r="A54" s="194" t="s">
        <v>152</v>
      </c>
      <c r="B54" s="218"/>
      <c r="C54" s="196"/>
      <c r="D54" s="134"/>
      <c r="E54" s="306">
        <f>E27+E45</f>
        <v>9308233.9199999981</v>
      </c>
      <c r="F54" s="644">
        <f t="shared" ref="F54:N54" si="27">F27+F45+F48</f>
        <v>10576249.32</v>
      </c>
      <c r="G54" s="191">
        <f t="shared" si="27"/>
        <v>1163615.8799999999</v>
      </c>
      <c r="H54" s="163" t="e">
        <f t="shared" si="27"/>
        <v>#REF!</v>
      </c>
      <c r="I54" s="191" t="e">
        <f t="shared" si="27"/>
        <v>#REF!</v>
      </c>
      <c r="J54" s="163">
        <f t="shared" si="27"/>
        <v>0</v>
      </c>
      <c r="K54" s="163" t="e">
        <f t="shared" si="27"/>
        <v>#REF!</v>
      </c>
      <c r="L54" s="191" t="e">
        <f t="shared" si="27"/>
        <v>#REF!</v>
      </c>
      <c r="M54" s="163" t="e">
        <f t="shared" si="27"/>
        <v>#REF!</v>
      </c>
      <c r="N54" s="191" t="e">
        <f t="shared" si="27"/>
        <v>#REF!</v>
      </c>
      <c r="Q54" s="78" t="s">
        <v>116</v>
      </c>
    </row>
    <row r="55" spans="1:17" ht="14.25" thickTop="1" thickBot="1" x14ac:dyDescent="0.25">
      <c r="A55" s="194" t="s">
        <v>100</v>
      </c>
      <c r="B55" s="22"/>
      <c r="C55" s="195"/>
      <c r="D55" s="196"/>
      <c r="E55" s="307" t="s">
        <v>34</v>
      </c>
      <c r="F55" s="646">
        <f>($E$54-F54)/-$E$54</f>
        <v>0.13622513259744148</v>
      </c>
      <c r="G55" s="314">
        <f>($E$54-G54)/-$E$54</f>
        <v>-0.87499069211187164</v>
      </c>
      <c r="H55" s="210" t="e">
        <f t="shared" ref="H55" si="28">($E$54-H54)/-$E$54</f>
        <v>#REF!</v>
      </c>
      <c r="I55" s="314" t="e">
        <f t="shared" ref="I55" si="29">($E$54-I54)/-$E$54</f>
        <v>#REF!</v>
      </c>
      <c r="J55" s="210">
        <f>($E$54-J54)/-$E$54</f>
        <v>-1</v>
      </c>
      <c r="K55" s="210" t="e">
        <f>($E$54-K54)/-$E$54</f>
        <v>#REF!</v>
      </c>
      <c r="L55" s="314" t="e">
        <f>($E$54-L54)/-$E$54</f>
        <v>#REF!</v>
      </c>
      <c r="M55" s="210" t="e">
        <f>($E$54-M54)/-$E$54</f>
        <v>#REF!</v>
      </c>
      <c r="N55" s="314" t="e">
        <f>($E$54-N54)/-$E$54</f>
        <v>#REF!</v>
      </c>
    </row>
    <row r="56" spans="1:17" ht="15" customHeight="1" thickTop="1" thickBot="1" x14ac:dyDescent="0.25">
      <c r="A56" s="165" t="s">
        <v>101</v>
      </c>
      <c r="B56" s="166"/>
      <c r="C56" s="219"/>
      <c r="D56" s="221"/>
      <c r="E56" s="308" t="s">
        <v>34</v>
      </c>
      <c r="F56" s="647">
        <f>F54-E54</f>
        <v>1268015.4000000022</v>
      </c>
      <c r="G56" s="315">
        <f>G54-E54</f>
        <v>-8144618.0399999982</v>
      </c>
      <c r="H56" s="211" t="e">
        <f>H54-E54</f>
        <v>#REF!</v>
      </c>
      <c r="I56" s="315" t="e">
        <f>I54-E54</f>
        <v>#REF!</v>
      </c>
      <c r="J56" s="211">
        <f>J54-E54</f>
        <v>-9308233.9199999981</v>
      </c>
      <c r="K56" s="211" t="e">
        <f>K54-E54</f>
        <v>#REF!</v>
      </c>
      <c r="L56" s="315" t="e">
        <f>L54-E54</f>
        <v>#REF!</v>
      </c>
      <c r="M56" s="211" t="e">
        <f>M54-E54</f>
        <v>#REF!</v>
      </c>
      <c r="N56" s="315" t="e">
        <f>N54-E54</f>
        <v>#REF!</v>
      </c>
    </row>
    <row r="57" spans="1:17" ht="15" customHeight="1" x14ac:dyDescent="0.2">
      <c r="A57" s="18"/>
      <c r="B57" s="466"/>
      <c r="C57" s="170"/>
      <c r="D57" s="170"/>
      <c r="E57" s="467"/>
      <c r="F57" s="170"/>
      <c r="G57" s="170"/>
      <c r="H57" s="588"/>
      <c r="I57" s="588"/>
      <c r="J57" s="588"/>
      <c r="K57" s="588"/>
      <c r="L57" s="170"/>
      <c r="M57" s="170"/>
      <c r="N57" s="468"/>
    </row>
    <row r="58" spans="1:17" x14ac:dyDescent="0.2">
      <c r="A58" s="24"/>
      <c r="B58" s="11"/>
      <c r="D58" s="25" t="s">
        <v>15</v>
      </c>
      <c r="E58" s="333"/>
      <c r="F58" s="333">
        <f>SUM(F30:F35)</f>
        <v>33.950000000000003</v>
      </c>
      <c r="G58" s="209"/>
      <c r="H58" s="229"/>
      <c r="J58" s="626" t="e">
        <f>I56-G56</f>
        <v>#REF!</v>
      </c>
      <c r="K58" s="229"/>
      <c r="L58" s="229" t="s">
        <v>164</v>
      </c>
      <c r="M58" s="229" t="s">
        <v>164</v>
      </c>
      <c r="N58" s="229" t="s">
        <v>171</v>
      </c>
    </row>
    <row r="59" spans="1:17" x14ac:dyDescent="0.2">
      <c r="A59" s="1" t="s">
        <v>16</v>
      </c>
      <c r="B59" s="1"/>
      <c r="C59" s="85" t="s">
        <v>464</v>
      </c>
      <c r="D59" s="25">
        <v>765</v>
      </c>
      <c r="E59" s="287"/>
      <c r="F59" s="287">
        <v>35.090000000000003</v>
      </c>
      <c r="G59" s="287"/>
      <c r="H59" s="78"/>
      <c r="J59" s="465"/>
      <c r="N59" s="465" t="s">
        <v>166</v>
      </c>
    </row>
    <row r="60" spans="1:17" x14ac:dyDescent="0.2">
      <c r="A60" s="1"/>
      <c r="B60" s="1"/>
      <c r="C60" s="85" t="s">
        <v>467</v>
      </c>
      <c r="D60" s="25">
        <v>301</v>
      </c>
      <c r="E60" s="287"/>
      <c r="F60" s="287">
        <f>F59-F58</f>
        <v>1.1400000000000006</v>
      </c>
      <c r="G60" s="287"/>
      <c r="H60" s="85"/>
      <c r="J60" s="408">
        <f>I27-G27</f>
        <v>8305329.6000000015</v>
      </c>
      <c r="K60" s="85"/>
      <c r="L60" s="85"/>
      <c r="M60" s="85"/>
      <c r="N60" s="85" t="s">
        <v>167</v>
      </c>
    </row>
    <row r="61" spans="1:17" x14ac:dyDescent="0.2">
      <c r="C61" s="85" t="s">
        <v>468</v>
      </c>
      <c r="D61" s="25">
        <v>464</v>
      </c>
      <c r="E61" s="287"/>
      <c r="F61" s="85"/>
      <c r="G61" s="85"/>
      <c r="H61" s="85"/>
      <c r="I61" s="85"/>
      <c r="J61" s="85"/>
      <c r="K61" s="85"/>
      <c r="L61" s="85"/>
      <c r="M61" s="85"/>
      <c r="N61" s="85" t="s">
        <v>168</v>
      </c>
    </row>
    <row r="62" spans="1:17" x14ac:dyDescent="0.2">
      <c r="C62" s="85"/>
      <c r="D62" s="25"/>
      <c r="E62" s="287"/>
      <c r="F62" s="287"/>
      <c r="G62" s="287"/>
      <c r="H62" s="85"/>
      <c r="I62" s="85"/>
      <c r="J62" s="85"/>
      <c r="K62" s="85"/>
      <c r="L62" s="85"/>
      <c r="M62" s="85"/>
      <c r="N62" s="85" t="s">
        <v>169</v>
      </c>
    </row>
    <row r="63" spans="1:17" x14ac:dyDescent="0.2">
      <c r="I63" s="85"/>
      <c r="N63" s="85" t="s">
        <v>170</v>
      </c>
    </row>
    <row r="64" spans="1:17" ht="11.25" customHeight="1" x14ac:dyDescent="0.2">
      <c r="I64" s="85"/>
      <c r="N64" s="85"/>
    </row>
    <row r="65" spans="1:14" ht="13.5" thickBot="1" x14ac:dyDescent="0.25">
      <c r="I65" s="85"/>
      <c r="N65" s="85"/>
    </row>
    <row r="66" spans="1:14" x14ac:dyDescent="0.2">
      <c r="A66" s="136" t="s">
        <v>0</v>
      </c>
      <c r="B66" s="137"/>
      <c r="C66" s="137"/>
      <c r="D66" s="138"/>
      <c r="E66" s="294" t="str">
        <f>E3</f>
        <v>TML</v>
      </c>
      <c r="F66" s="141" t="s">
        <v>76</v>
      </c>
      <c r="G66" s="534" t="str">
        <f t="shared" ref="G66:N66" si="30">G3</f>
        <v xml:space="preserve">Cigna </v>
      </c>
      <c r="H66" s="141" t="str">
        <f t="shared" si="30"/>
        <v>Meritain</v>
      </c>
      <c r="I66" s="534" t="str">
        <f t="shared" si="30"/>
        <v>UHC</v>
      </c>
      <c r="J66" s="178" t="str">
        <f t="shared" si="30"/>
        <v>TML</v>
      </c>
      <c r="K66" s="534" t="str">
        <f t="shared" si="30"/>
        <v>BCBSTX</v>
      </c>
      <c r="L66" s="178" t="str">
        <f t="shared" si="30"/>
        <v>Cigna</v>
      </c>
      <c r="M66" s="534" t="str">
        <f t="shared" si="30"/>
        <v>Cigna</v>
      </c>
      <c r="N66" s="178" t="str">
        <f t="shared" si="30"/>
        <v>UHC</v>
      </c>
    </row>
    <row r="67" spans="1:14" x14ac:dyDescent="0.2">
      <c r="A67" s="508" t="s">
        <v>370</v>
      </c>
      <c r="B67" s="509"/>
      <c r="C67" s="509"/>
      <c r="D67" s="510"/>
      <c r="E67" s="511" t="s">
        <v>270</v>
      </c>
      <c r="F67" s="531" t="s">
        <v>270</v>
      </c>
      <c r="G67" s="535" t="s">
        <v>379</v>
      </c>
      <c r="H67" s="511" t="s">
        <v>270</v>
      </c>
      <c r="I67" s="535" t="s">
        <v>382</v>
      </c>
      <c r="J67" s="531" t="s">
        <v>270</v>
      </c>
      <c r="K67" s="535" t="s">
        <v>270</v>
      </c>
      <c r="L67" s="531"/>
      <c r="M67" s="535"/>
      <c r="N67" s="531"/>
    </row>
    <row r="68" spans="1:14" x14ac:dyDescent="0.2">
      <c r="A68" s="508" t="s">
        <v>371</v>
      </c>
      <c r="B68" s="509"/>
      <c r="C68" s="509"/>
      <c r="D68" s="510"/>
      <c r="E68" s="512" t="s">
        <v>34</v>
      </c>
      <c r="F68" s="532" t="s">
        <v>34</v>
      </c>
      <c r="G68" s="536" t="s">
        <v>34</v>
      </c>
      <c r="H68" s="512" t="s">
        <v>376</v>
      </c>
      <c r="I68" s="536">
        <v>225000</v>
      </c>
      <c r="J68" s="532" t="s">
        <v>373</v>
      </c>
      <c r="K68" s="536" t="s">
        <v>40</v>
      </c>
      <c r="L68" s="532"/>
      <c r="M68" s="536"/>
      <c r="N68" s="532"/>
    </row>
    <row r="69" spans="1:14" x14ac:dyDescent="0.2">
      <c r="A69" s="508" t="s">
        <v>381</v>
      </c>
      <c r="B69" s="509"/>
      <c r="C69" s="509"/>
      <c r="D69" s="510"/>
      <c r="E69" s="512" t="s">
        <v>34</v>
      </c>
      <c r="F69" s="532" t="s">
        <v>34</v>
      </c>
      <c r="G69" s="536" t="s">
        <v>34</v>
      </c>
      <c r="H69" s="512">
        <v>1365303</v>
      </c>
      <c r="I69" s="536">
        <v>1219739</v>
      </c>
      <c r="J69" s="532" t="s">
        <v>373</v>
      </c>
      <c r="K69" s="536" t="s">
        <v>40</v>
      </c>
      <c r="L69" s="532"/>
      <c r="M69" s="536"/>
      <c r="N69" s="532"/>
    </row>
    <row r="70" spans="1:14" x14ac:dyDescent="0.2">
      <c r="A70" s="508" t="s">
        <v>420</v>
      </c>
      <c r="B70" s="509"/>
      <c r="C70" s="509"/>
      <c r="D70" s="510"/>
      <c r="E70" s="512" t="s">
        <v>172</v>
      </c>
      <c r="F70" s="532" t="s">
        <v>172</v>
      </c>
      <c r="G70" s="536" t="s">
        <v>379</v>
      </c>
      <c r="H70" s="512" t="s">
        <v>379</v>
      </c>
      <c r="I70" s="536" t="s">
        <v>270</v>
      </c>
      <c r="J70" s="532" t="s">
        <v>172</v>
      </c>
      <c r="K70" s="536" t="s">
        <v>379</v>
      </c>
      <c r="L70" s="532"/>
      <c r="M70" s="536"/>
      <c r="N70" s="532"/>
    </row>
    <row r="71" spans="1:14" x14ac:dyDescent="0.2">
      <c r="A71" s="508" t="s">
        <v>372</v>
      </c>
      <c r="B71" s="509"/>
      <c r="C71" s="509"/>
      <c r="D71" s="510"/>
      <c r="E71" s="511" t="s">
        <v>34</v>
      </c>
      <c r="F71" s="531" t="s">
        <v>34</v>
      </c>
      <c r="G71" s="535" t="s">
        <v>383</v>
      </c>
      <c r="H71" s="535" t="s">
        <v>383</v>
      </c>
      <c r="I71" s="535" t="s">
        <v>383</v>
      </c>
      <c r="J71" s="531" t="s">
        <v>383</v>
      </c>
      <c r="K71" s="535" t="s">
        <v>383</v>
      </c>
      <c r="L71" s="531"/>
      <c r="M71" s="535"/>
      <c r="N71" s="531"/>
    </row>
    <row r="72" spans="1:14" x14ac:dyDescent="0.2">
      <c r="A72" s="513" t="s">
        <v>374</v>
      </c>
      <c r="B72" s="514"/>
      <c r="C72" s="514"/>
      <c r="D72" s="515"/>
      <c r="E72" s="516" t="s">
        <v>34</v>
      </c>
      <c r="F72" s="526" t="s">
        <v>375</v>
      </c>
      <c r="G72" s="537" t="s">
        <v>375</v>
      </c>
      <c r="H72" s="537" t="s">
        <v>375</v>
      </c>
      <c r="I72" s="537" t="s">
        <v>499</v>
      </c>
      <c r="J72" s="526" t="s">
        <v>436</v>
      </c>
      <c r="K72" s="516" t="s">
        <v>509</v>
      </c>
      <c r="L72" s="526"/>
      <c r="M72" s="537"/>
      <c r="N72" s="526"/>
    </row>
    <row r="73" spans="1:14" ht="17.25" x14ac:dyDescent="0.2">
      <c r="A73" s="513" t="s">
        <v>387</v>
      </c>
      <c r="B73" s="514"/>
      <c r="C73" s="514"/>
      <c r="D73" s="517"/>
      <c r="E73" s="586" t="s">
        <v>518</v>
      </c>
      <c r="F73" s="586" t="s">
        <v>517</v>
      </c>
      <c r="G73" s="537"/>
      <c r="H73" s="586" t="s">
        <v>421</v>
      </c>
      <c r="I73" s="537" t="s">
        <v>504</v>
      </c>
      <c r="J73" s="586" t="s">
        <v>430</v>
      </c>
      <c r="K73" s="537" t="s">
        <v>422</v>
      </c>
      <c r="L73" s="526"/>
      <c r="M73" s="537"/>
      <c r="N73" s="526"/>
    </row>
    <row r="74" spans="1:14" ht="19.5" customHeight="1" x14ac:dyDescent="0.2">
      <c r="A74" s="513" t="s">
        <v>386</v>
      </c>
      <c r="B74" s="514"/>
      <c r="C74" s="514"/>
      <c r="D74" s="517"/>
      <c r="E74" s="586" t="s">
        <v>435</v>
      </c>
      <c r="F74" s="585" t="s">
        <v>435</v>
      </c>
      <c r="G74" s="537" t="s">
        <v>440</v>
      </c>
      <c r="H74" s="585" t="s">
        <v>496</v>
      </c>
      <c r="I74" s="585" t="s">
        <v>506</v>
      </c>
      <c r="J74" s="585" t="s">
        <v>435</v>
      </c>
      <c r="K74" s="537" t="s">
        <v>423</v>
      </c>
      <c r="L74" s="526"/>
      <c r="M74" s="537"/>
      <c r="N74" s="526"/>
    </row>
    <row r="75" spans="1:14" x14ac:dyDescent="0.2">
      <c r="A75" s="513" t="s">
        <v>377</v>
      </c>
      <c r="B75" s="514"/>
      <c r="C75" s="514"/>
      <c r="D75" s="517"/>
      <c r="E75" s="516" t="s">
        <v>40</v>
      </c>
      <c r="F75" s="526" t="s">
        <v>40</v>
      </c>
      <c r="G75" s="537" t="s">
        <v>478</v>
      </c>
      <c r="H75" s="537" t="s">
        <v>489</v>
      </c>
      <c r="I75" s="537" t="s">
        <v>502</v>
      </c>
      <c r="J75" s="526" t="s">
        <v>40</v>
      </c>
      <c r="K75" s="537" t="s">
        <v>40</v>
      </c>
      <c r="L75" s="526"/>
      <c r="M75" s="537"/>
      <c r="N75" s="526"/>
    </row>
    <row r="76" spans="1:14" x14ac:dyDescent="0.2">
      <c r="A76" s="226"/>
      <c r="B76" s="85"/>
      <c r="C76" s="85"/>
      <c r="D76" s="416"/>
      <c r="E76" s="518"/>
      <c r="F76" s="527"/>
      <c r="G76" s="538" t="s">
        <v>479</v>
      </c>
      <c r="H76" s="538" t="s">
        <v>490</v>
      </c>
      <c r="I76" s="538" t="s">
        <v>503</v>
      </c>
      <c r="J76" s="527"/>
      <c r="K76" s="538"/>
      <c r="L76" s="527"/>
      <c r="M76" s="538"/>
      <c r="N76" s="527"/>
    </row>
    <row r="77" spans="1:14" x14ac:dyDescent="0.2">
      <c r="A77" s="226"/>
      <c r="B77" s="85"/>
      <c r="C77" s="85"/>
      <c r="D77" s="416"/>
      <c r="E77" s="518"/>
      <c r="F77" s="527"/>
      <c r="G77" s="538" t="s">
        <v>480</v>
      </c>
      <c r="H77" s="538" t="s">
        <v>491</v>
      </c>
      <c r="I77" s="538"/>
      <c r="J77" s="527"/>
      <c r="K77" s="538"/>
      <c r="L77" s="527"/>
      <c r="M77" s="538"/>
      <c r="N77" s="527"/>
    </row>
    <row r="78" spans="1:14" x14ac:dyDescent="0.2">
      <c r="A78" s="519"/>
      <c r="B78" s="520"/>
      <c r="C78" s="520"/>
      <c r="D78" s="521"/>
      <c r="E78" s="648"/>
      <c r="F78" s="528"/>
      <c r="G78" s="539"/>
      <c r="H78" s="539" t="s">
        <v>495</v>
      </c>
      <c r="I78" s="539"/>
      <c r="J78" s="528"/>
      <c r="K78" s="539"/>
      <c r="L78" s="528"/>
      <c r="M78" s="539"/>
      <c r="N78" s="528"/>
    </row>
    <row r="79" spans="1:14" x14ac:dyDescent="0.2">
      <c r="A79" s="513" t="s">
        <v>426</v>
      </c>
      <c r="B79" s="514"/>
      <c r="C79" s="514"/>
      <c r="D79" s="515"/>
      <c r="E79" s="518" t="s">
        <v>501</v>
      </c>
      <c r="F79" s="527" t="s">
        <v>501</v>
      </c>
      <c r="G79" s="537" t="s">
        <v>500</v>
      </c>
      <c r="H79" s="516" t="s">
        <v>508</v>
      </c>
      <c r="I79" s="538" t="s">
        <v>501</v>
      </c>
      <c r="J79" s="527" t="s">
        <v>427</v>
      </c>
      <c r="K79" s="537" t="s">
        <v>40</v>
      </c>
      <c r="L79" s="526"/>
      <c r="M79" s="537"/>
      <c r="N79" s="531"/>
    </row>
    <row r="80" spans="1:14" x14ac:dyDescent="0.2">
      <c r="A80" s="513" t="s">
        <v>380</v>
      </c>
      <c r="B80" s="514"/>
      <c r="C80" s="514"/>
      <c r="D80" s="515"/>
      <c r="E80" s="516" t="s">
        <v>431</v>
      </c>
      <c r="F80" s="526" t="s">
        <v>431</v>
      </c>
      <c r="G80" s="537" t="s">
        <v>481</v>
      </c>
      <c r="H80" s="516" t="s">
        <v>488</v>
      </c>
      <c r="I80" s="537" t="s">
        <v>424</v>
      </c>
      <c r="J80" s="526" t="s">
        <v>431</v>
      </c>
      <c r="K80" s="537" t="s">
        <v>510</v>
      </c>
      <c r="L80" s="526"/>
      <c r="M80" s="537"/>
      <c r="N80" s="527"/>
    </row>
    <row r="81" spans="1:14" x14ac:dyDescent="0.2">
      <c r="A81" s="226"/>
      <c r="B81" s="85"/>
      <c r="C81" s="85"/>
      <c r="D81" s="380"/>
      <c r="E81" s="518" t="s">
        <v>432</v>
      </c>
      <c r="F81" s="527" t="s">
        <v>432</v>
      </c>
      <c r="G81" s="538" t="s">
        <v>482</v>
      </c>
      <c r="H81" s="518" t="s">
        <v>492</v>
      </c>
      <c r="I81" s="538" t="s">
        <v>425</v>
      </c>
      <c r="J81" s="527" t="s">
        <v>432</v>
      </c>
      <c r="K81" s="538" t="s">
        <v>511</v>
      </c>
      <c r="L81" s="527"/>
      <c r="M81" s="538"/>
      <c r="N81" s="527"/>
    </row>
    <row r="82" spans="1:14" x14ac:dyDescent="0.2">
      <c r="A82" s="226"/>
      <c r="B82" s="85"/>
      <c r="C82" s="85"/>
      <c r="D82" s="380"/>
      <c r="E82" s="518" t="s">
        <v>433</v>
      </c>
      <c r="F82" s="527" t="s">
        <v>433</v>
      </c>
      <c r="G82" s="538"/>
      <c r="H82" s="518" t="s">
        <v>493</v>
      </c>
      <c r="I82" s="538" t="s">
        <v>507</v>
      </c>
      <c r="J82" s="527" t="s">
        <v>433</v>
      </c>
      <c r="K82" s="538"/>
      <c r="L82" s="527"/>
      <c r="M82" s="538"/>
      <c r="N82" s="527"/>
    </row>
    <row r="83" spans="1:14" x14ac:dyDescent="0.2">
      <c r="A83" s="522"/>
      <c r="D83" s="523"/>
      <c r="E83" s="518" t="s">
        <v>434</v>
      </c>
      <c r="F83" s="527" t="s">
        <v>434</v>
      </c>
      <c r="G83" s="538"/>
      <c r="H83" s="518"/>
      <c r="I83" s="538"/>
      <c r="J83" s="527" t="s">
        <v>434</v>
      </c>
      <c r="K83" s="538"/>
      <c r="L83" s="527"/>
      <c r="M83" s="538"/>
      <c r="N83" s="527"/>
    </row>
    <row r="84" spans="1:14" x14ac:dyDescent="0.2">
      <c r="A84" s="522"/>
      <c r="D84" s="523"/>
      <c r="E84" s="518" t="s">
        <v>437</v>
      </c>
      <c r="F84" s="527" t="s">
        <v>437</v>
      </c>
      <c r="G84" s="538"/>
      <c r="H84" s="518"/>
      <c r="I84" s="538"/>
      <c r="J84" s="527" t="s">
        <v>437</v>
      </c>
      <c r="K84" s="538"/>
      <c r="L84" s="527"/>
      <c r="M84" s="538"/>
      <c r="N84" s="529"/>
    </row>
    <row r="85" spans="1:14" x14ac:dyDescent="0.2">
      <c r="A85" s="522"/>
      <c r="E85" s="518" t="s">
        <v>438</v>
      </c>
      <c r="F85" s="527" t="s">
        <v>438</v>
      </c>
      <c r="G85" s="538"/>
      <c r="H85" s="518"/>
      <c r="I85" s="538"/>
      <c r="J85" s="527" t="s">
        <v>438</v>
      </c>
      <c r="K85" s="538"/>
      <c r="L85" s="527"/>
      <c r="M85" s="538"/>
      <c r="N85" s="529"/>
    </row>
    <row r="86" spans="1:14" ht="13.5" thickBot="1" x14ac:dyDescent="0.25">
      <c r="A86" s="524"/>
      <c r="B86" s="213"/>
      <c r="C86" s="213"/>
      <c r="D86" s="213"/>
      <c r="E86" s="525" t="s">
        <v>466</v>
      </c>
      <c r="F86" s="533" t="s">
        <v>466</v>
      </c>
      <c r="G86" s="540"/>
      <c r="H86" s="525"/>
      <c r="I86" s="541"/>
      <c r="J86" s="533"/>
      <c r="K86" s="540"/>
      <c r="L86" s="533"/>
      <c r="M86" s="540"/>
      <c r="N86" s="530"/>
    </row>
    <row r="87" spans="1:14" x14ac:dyDescent="0.2">
      <c r="I87" s="85"/>
      <c r="N87" s="85"/>
    </row>
    <row r="88" spans="1:14" x14ac:dyDescent="0.2">
      <c r="H88">
        <f t="shared" ref="H88:N88" si="31">32.14+0.34</f>
        <v>32.480000000000004</v>
      </c>
      <c r="I88">
        <f t="shared" si="31"/>
        <v>32.480000000000004</v>
      </c>
      <c r="J88">
        <f t="shared" si="31"/>
        <v>32.480000000000004</v>
      </c>
      <c r="K88">
        <f t="shared" si="31"/>
        <v>32.480000000000004</v>
      </c>
      <c r="L88">
        <f t="shared" si="31"/>
        <v>32.480000000000004</v>
      </c>
      <c r="M88">
        <f t="shared" si="31"/>
        <v>32.480000000000004</v>
      </c>
      <c r="N88">
        <f t="shared" si="31"/>
        <v>32.480000000000004</v>
      </c>
    </row>
    <row r="89" spans="1:14" x14ac:dyDescent="0.2">
      <c r="H89">
        <f t="shared" ref="H89:N89" si="32">36.01+0.34</f>
        <v>36.35</v>
      </c>
      <c r="I89">
        <f t="shared" si="32"/>
        <v>36.35</v>
      </c>
      <c r="J89">
        <f t="shared" si="32"/>
        <v>36.35</v>
      </c>
      <c r="K89">
        <f t="shared" si="32"/>
        <v>36.35</v>
      </c>
      <c r="L89">
        <f t="shared" si="32"/>
        <v>36.35</v>
      </c>
      <c r="M89">
        <f t="shared" si="32"/>
        <v>36.35</v>
      </c>
      <c r="N89">
        <f t="shared" si="32"/>
        <v>36.35</v>
      </c>
    </row>
    <row r="91" spans="1:14" x14ac:dyDescent="0.2">
      <c r="E91">
        <v>997.25</v>
      </c>
      <c r="F91">
        <v>1152.95</v>
      </c>
      <c r="G91">
        <v>1133.6199999999999</v>
      </c>
      <c r="H91">
        <f t="shared" ref="H91:N91" si="33">651.92+172.22</f>
        <v>824.14</v>
      </c>
      <c r="I91">
        <f t="shared" si="33"/>
        <v>824.14</v>
      </c>
      <c r="J91">
        <f t="shared" si="33"/>
        <v>824.14</v>
      </c>
      <c r="K91">
        <f t="shared" si="33"/>
        <v>824.14</v>
      </c>
      <c r="L91">
        <f t="shared" si="33"/>
        <v>824.14</v>
      </c>
      <c r="M91">
        <f t="shared" si="33"/>
        <v>824.14</v>
      </c>
      <c r="N91">
        <f t="shared" si="33"/>
        <v>824.14</v>
      </c>
    </row>
    <row r="92" spans="1:14" x14ac:dyDescent="0.2">
      <c r="E92">
        <f>D60*E91</f>
        <v>300172.25</v>
      </c>
      <c r="F92">
        <f>D60*F91</f>
        <v>347037.95</v>
      </c>
      <c r="G92">
        <f>D60*G91</f>
        <v>341219.62</v>
      </c>
      <c r="H92" t="e">
        <f>C60*H91</f>
        <v>#VALUE!</v>
      </c>
      <c r="I92">
        <f>B60*I91</f>
        <v>0</v>
      </c>
      <c r="J92">
        <f>D60*J91</f>
        <v>248066.13999999998</v>
      </c>
      <c r="K92" t="e">
        <f>C60*K91</f>
        <v>#VALUE!</v>
      </c>
      <c r="L92" t="e">
        <f>C60*L91</f>
        <v>#VALUE!</v>
      </c>
      <c r="M92" t="e">
        <f>C60*M91</f>
        <v>#VALUE!</v>
      </c>
      <c r="N92" t="e">
        <f>C60*N91</f>
        <v>#VALUE!</v>
      </c>
    </row>
    <row r="93" spans="1:14" x14ac:dyDescent="0.2">
      <c r="E93">
        <v>951.98</v>
      </c>
      <c r="F93">
        <v>1091.3699999999999</v>
      </c>
      <c r="G93">
        <v>1073.07</v>
      </c>
      <c r="H93">
        <f t="shared" ref="H93:N93" si="34">827.93+172.49</f>
        <v>1000.42</v>
      </c>
      <c r="I93">
        <f t="shared" si="34"/>
        <v>1000.42</v>
      </c>
      <c r="J93">
        <f t="shared" si="34"/>
        <v>1000.42</v>
      </c>
      <c r="K93">
        <f t="shared" si="34"/>
        <v>1000.42</v>
      </c>
      <c r="L93">
        <f t="shared" si="34"/>
        <v>1000.42</v>
      </c>
      <c r="M93">
        <f t="shared" si="34"/>
        <v>1000.42</v>
      </c>
      <c r="N93">
        <f t="shared" si="34"/>
        <v>1000.42</v>
      </c>
    </row>
    <row r="94" spans="1:14" x14ac:dyDescent="0.2">
      <c r="E94">
        <f>D61*E93</f>
        <v>441718.72000000003</v>
      </c>
      <c r="F94">
        <f>D61*F93</f>
        <v>506395.67999999993</v>
      </c>
      <c r="G94">
        <f>D61*G93</f>
        <v>497904.48</v>
      </c>
      <c r="H94" t="e">
        <f>C61*H93</f>
        <v>#VALUE!</v>
      </c>
      <c r="I94">
        <f>B61*I93</f>
        <v>0</v>
      </c>
      <c r="J94">
        <f>D61*J93</f>
        <v>464194.88</v>
      </c>
      <c r="K94" t="e">
        <f>C61*K93</f>
        <v>#VALUE!</v>
      </c>
      <c r="L94" t="e">
        <f>C61*L93</f>
        <v>#VALUE!</v>
      </c>
      <c r="M94" t="e">
        <f>C61*M93</f>
        <v>#VALUE!</v>
      </c>
      <c r="N94" t="e">
        <f>C61*N93</f>
        <v>#VALUE!</v>
      </c>
    </row>
    <row r="95" spans="1:14" x14ac:dyDescent="0.2">
      <c r="E95">
        <v>941.21</v>
      </c>
      <c r="F95">
        <v>1110.4000000000001</v>
      </c>
      <c r="G95">
        <v>1091.78</v>
      </c>
      <c r="H95">
        <f t="shared" ref="H95:N95" si="35">920.75+172.49</f>
        <v>1093.24</v>
      </c>
      <c r="I95">
        <f t="shared" si="35"/>
        <v>1093.24</v>
      </c>
      <c r="J95">
        <f t="shared" si="35"/>
        <v>1093.24</v>
      </c>
      <c r="K95">
        <f t="shared" si="35"/>
        <v>1093.24</v>
      </c>
      <c r="L95">
        <f t="shared" si="35"/>
        <v>1093.24</v>
      </c>
      <c r="M95">
        <f t="shared" si="35"/>
        <v>1093.24</v>
      </c>
      <c r="N95">
        <f t="shared" si="35"/>
        <v>1093.24</v>
      </c>
    </row>
    <row r="96" spans="1:14" x14ac:dyDescent="0.2">
      <c r="E96">
        <f>D62*E95</f>
        <v>0</v>
      </c>
      <c r="F96">
        <f>D62*F95</f>
        <v>0</v>
      </c>
      <c r="G96">
        <f>D62*G95</f>
        <v>0</v>
      </c>
      <c r="H96">
        <f>C62*H95</f>
        <v>0</v>
      </c>
      <c r="I96">
        <f>B62*I95</f>
        <v>0</v>
      </c>
      <c r="J96">
        <f>D62*J95</f>
        <v>0</v>
      </c>
      <c r="K96">
        <f>C62*K95</f>
        <v>0</v>
      </c>
      <c r="L96">
        <f>C62*L95</f>
        <v>0</v>
      </c>
      <c r="M96">
        <f>C62*M95</f>
        <v>0</v>
      </c>
      <c r="N96">
        <f>C62*N95</f>
        <v>0</v>
      </c>
    </row>
    <row r="98" spans="5:14" x14ac:dyDescent="0.2">
      <c r="E98">
        <f>E92+E94+E96</f>
        <v>741890.97</v>
      </c>
      <c r="F98">
        <f>F92+F94+F96</f>
        <v>853433.62999999989</v>
      </c>
      <c r="G98">
        <f>G92+G94+G96</f>
        <v>839124.1</v>
      </c>
      <c r="H98" t="e">
        <f t="shared" ref="H98" si="36">H92+H94+H96</f>
        <v>#VALUE!</v>
      </c>
      <c r="I98">
        <f t="shared" ref="I98" si="37">I92+I94+I96</f>
        <v>0</v>
      </c>
      <c r="J98">
        <f>J92+J94+J96</f>
        <v>712261.02</v>
      </c>
      <c r="K98" t="e">
        <f>K92+K94+K96</f>
        <v>#VALUE!</v>
      </c>
      <c r="L98" t="e">
        <f>L92+L94+L96</f>
        <v>#VALUE!</v>
      </c>
      <c r="M98" t="e">
        <f>M92+M94+M96</f>
        <v>#VALUE!</v>
      </c>
      <c r="N98" t="e">
        <f>N92+N94+N96</f>
        <v>#VALUE!</v>
      </c>
    </row>
    <row r="99" spans="5:14" x14ac:dyDescent="0.2">
      <c r="E99">
        <f>E98/D59</f>
        <v>969.79211764705883</v>
      </c>
      <c r="F99">
        <f>F98/D59</f>
        <v>1115.5995163398691</v>
      </c>
      <c r="G99">
        <f>G98/D59</f>
        <v>1096.894248366013</v>
      </c>
      <c r="H99" t="e">
        <f>H98/C59</f>
        <v>#VALUE!</v>
      </c>
      <c r="I99" t="e">
        <f>I98/B59</f>
        <v>#DIV/0!</v>
      </c>
      <c r="J99">
        <f>J98/D59</f>
        <v>931.06015686274509</v>
      </c>
      <c r="K99" t="e">
        <f>K98/C59</f>
        <v>#VALUE!</v>
      </c>
      <c r="L99" t="e">
        <f>L98/C59</f>
        <v>#VALUE!</v>
      </c>
      <c r="M99" t="e">
        <f>M98/C59</f>
        <v>#VALUE!</v>
      </c>
      <c r="N99" t="e">
        <f>N98/C59</f>
        <v>#VALUE!</v>
      </c>
    </row>
  </sheetData>
  <phoneticPr fontId="1" type="noConversion"/>
  <printOptions horizontalCentered="1"/>
  <pageMargins left="0" right="0" top="1.1499999999999999" bottom="0.16" header="0.65" footer="0.05"/>
  <pageSetup scale="69" fitToWidth="2" fitToHeight="2" orientation="landscape" r:id="rId1"/>
  <headerFooter alignWithMargins="0">
    <oddHeader xml:space="preserve">&amp;C&amp;"Arial,Bold"&amp;14CITY OF CARROLLTON
PARTIAL SELF FUNDED RENEWAL OFFER - $125 ISL LEVEL&amp;"Arial,Regular"&amp;10
</oddHeader>
  </headerFooter>
  <rowBreaks count="1" manualBreakCount="1">
    <brk id="62" max="26"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H70"/>
  <sheetViews>
    <sheetView view="pageBreakPreview" zoomScaleNormal="130" zoomScalePageLayoutView="130" workbookViewId="0">
      <selection activeCell="A54" sqref="A54"/>
    </sheetView>
  </sheetViews>
  <sheetFormatPr defaultColWidth="8.85546875" defaultRowHeight="12.75" x14ac:dyDescent="0.2"/>
  <cols>
    <col min="1" max="1" width="21.7109375" customWidth="1"/>
    <col min="2" max="2" width="4" customWidth="1"/>
    <col min="3" max="3" width="13.7109375" customWidth="1"/>
    <col min="4" max="4" width="8.140625" customWidth="1"/>
    <col min="5" max="5" width="14" hidden="1" customWidth="1"/>
    <col min="6" max="6" width="12" hidden="1" customWidth="1"/>
    <col min="7" max="7" width="12.7109375" hidden="1" customWidth="1"/>
    <col min="8" max="8" width="17.7109375" hidden="1" customWidth="1"/>
    <col min="9" max="9" width="18" hidden="1" customWidth="1"/>
    <col min="10" max="11" width="17.7109375" hidden="1" customWidth="1"/>
    <col min="12" max="15" width="15.140625" hidden="1" customWidth="1"/>
    <col min="16" max="16" width="14.28515625" hidden="1" customWidth="1"/>
    <col min="17" max="17" width="14.140625" hidden="1" customWidth="1"/>
    <col min="18" max="18" width="13" hidden="1" customWidth="1"/>
    <col min="19" max="19" width="9.140625" hidden="1" customWidth="1"/>
    <col min="20" max="20" width="21.42578125" customWidth="1"/>
    <col min="21" max="21" width="20.85546875" customWidth="1"/>
    <col min="22" max="22" width="20.7109375" customWidth="1"/>
    <col min="23" max="23" width="22.42578125" hidden="1" customWidth="1"/>
    <col min="24" max="24" width="20.7109375" customWidth="1"/>
    <col min="25" max="25" width="21.140625" customWidth="1"/>
    <col min="26" max="26" width="21.140625" hidden="1" customWidth="1"/>
    <col min="27" max="31" width="21.140625" customWidth="1"/>
  </cols>
  <sheetData>
    <row r="1" spans="1:31" x14ac:dyDescent="0.2">
      <c r="H1" s="205"/>
    </row>
    <row r="2" spans="1:31" ht="13.5" thickBot="1" x14ac:dyDescent="0.25">
      <c r="H2" s="205"/>
      <c r="I2" s="205" t="s">
        <v>108</v>
      </c>
      <c r="J2" s="205" t="s">
        <v>108</v>
      </c>
      <c r="K2" s="205" t="s">
        <v>108</v>
      </c>
      <c r="L2" s="205" t="s">
        <v>108</v>
      </c>
      <c r="M2" s="205" t="s">
        <v>108</v>
      </c>
      <c r="N2" s="205" t="s">
        <v>108</v>
      </c>
      <c r="O2" s="205" t="s">
        <v>108</v>
      </c>
      <c r="P2" s="205" t="s">
        <v>108</v>
      </c>
      <c r="Q2" s="205" t="s">
        <v>108</v>
      </c>
      <c r="R2" s="205" t="s">
        <v>108</v>
      </c>
      <c r="S2" s="205" t="s">
        <v>108</v>
      </c>
      <c r="T2" s="205"/>
      <c r="U2" s="205"/>
      <c r="V2" s="205"/>
      <c r="W2" s="205"/>
      <c r="X2" s="205"/>
      <c r="Y2" s="205"/>
      <c r="Z2" s="205"/>
      <c r="AA2" s="205"/>
      <c r="AB2" s="205"/>
      <c r="AC2" s="205"/>
      <c r="AD2" s="205"/>
      <c r="AE2" s="205"/>
    </row>
    <row r="3" spans="1:31" ht="22.5" x14ac:dyDescent="0.2">
      <c r="A3" s="136" t="s">
        <v>0</v>
      </c>
      <c r="B3" s="137"/>
      <c r="C3" s="137"/>
      <c r="D3" s="138"/>
      <c r="E3" s="139" t="s">
        <v>74</v>
      </c>
      <c r="F3" s="139" t="s">
        <v>74</v>
      </c>
      <c r="G3" s="139" t="s">
        <v>74</v>
      </c>
      <c r="H3" s="139" t="s">
        <v>74</v>
      </c>
      <c r="I3" s="140" t="s">
        <v>74</v>
      </c>
      <c r="J3" s="140" t="s">
        <v>74</v>
      </c>
      <c r="K3" s="140" t="s">
        <v>91</v>
      </c>
      <c r="L3" s="178" t="s">
        <v>87</v>
      </c>
      <c r="M3" s="139" t="s">
        <v>76</v>
      </c>
      <c r="N3" s="140" t="s">
        <v>76</v>
      </c>
      <c r="O3" s="140" t="s">
        <v>74</v>
      </c>
      <c r="P3" s="140" t="s">
        <v>74</v>
      </c>
      <c r="Q3" s="140" t="s">
        <v>74</v>
      </c>
      <c r="R3" s="140" t="s">
        <v>74</v>
      </c>
      <c r="S3" s="321"/>
      <c r="T3" s="294" t="s">
        <v>121</v>
      </c>
      <c r="U3" s="140" t="s">
        <v>120</v>
      </c>
      <c r="V3" s="140" t="s">
        <v>145</v>
      </c>
      <c r="W3" s="328" t="s">
        <v>91</v>
      </c>
      <c r="X3" s="141" t="s">
        <v>148</v>
      </c>
      <c r="Y3" s="178" t="s">
        <v>91</v>
      </c>
      <c r="Z3" s="141" t="s">
        <v>91</v>
      </c>
      <c r="AA3" s="141" t="s">
        <v>91</v>
      </c>
      <c r="AB3" s="141" t="s">
        <v>91</v>
      </c>
      <c r="AC3" s="141" t="s">
        <v>91</v>
      </c>
      <c r="AD3" s="141" t="s">
        <v>91</v>
      </c>
      <c r="AE3" s="141" t="s">
        <v>91</v>
      </c>
    </row>
    <row r="4" spans="1:31" ht="12.75" customHeight="1" x14ac:dyDescent="0.2">
      <c r="A4" s="142" t="s">
        <v>86</v>
      </c>
      <c r="B4" s="120"/>
      <c r="C4" s="120"/>
      <c r="D4" s="121"/>
      <c r="E4" s="119" t="s">
        <v>74</v>
      </c>
      <c r="F4" s="119" t="s">
        <v>74</v>
      </c>
      <c r="G4" s="119" t="s">
        <v>74</v>
      </c>
      <c r="H4" s="119" t="s">
        <v>74</v>
      </c>
      <c r="I4" s="84" t="s">
        <v>74</v>
      </c>
      <c r="J4" s="84" t="s">
        <v>109</v>
      </c>
      <c r="K4" s="84" t="s">
        <v>91</v>
      </c>
      <c r="L4" s="179" t="s">
        <v>94</v>
      </c>
      <c r="M4" s="119" t="s">
        <v>92</v>
      </c>
      <c r="N4" s="84" t="s">
        <v>93</v>
      </c>
      <c r="O4" s="84" t="s">
        <v>79</v>
      </c>
      <c r="P4" s="84" t="s">
        <v>78</v>
      </c>
      <c r="Q4" s="84" t="s">
        <v>94</v>
      </c>
      <c r="R4" s="84" t="s">
        <v>95</v>
      </c>
      <c r="T4" s="295" t="s">
        <v>91</v>
      </c>
      <c r="U4" s="342" t="s">
        <v>91</v>
      </c>
      <c r="V4" s="342" t="s">
        <v>91</v>
      </c>
      <c r="W4" s="343" t="s">
        <v>142</v>
      </c>
      <c r="X4" s="345" t="s">
        <v>91</v>
      </c>
      <c r="Y4" s="179" t="s">
        <v>141</v>
      </c>
      <c r="Z4" s="143" t="s">
        <v>140</v>
      </c>
      <c r="AA4" s="143" t="s">
        <v>139</v>
      </c>
      <c r="AB4" s="143" t="s">
        <v>142</v>
      </c>
      <c r="AC4" s="143" t="s">
        <v>141</v>
      </c>
      <c r="AD4" s="143" t="s">
        <v>140</v>
      </c>
      <c r="AE4" s="143" t="s">
        <v>139</v>
      </c>
    </row>
    <row r="5" spans="1:31" x14ac:dyDescent="0.2">
      <c r="A5" s="142" t="s">
        <v>1</v>
      </c>
      <c r="B5" s="120"/>
      <c r="C5" s="120"/>
      <c r="D5" s="121"/>
      <c r="E5" s="119" t="s">
        <v>88</v>
      </c>
      <c r="F5" s="119" t="s">
        <v>88</v>
      </c>
      <c r="G5" s="119" t="s">
        <v>88</v>
      </c>
      <c r="H5" s="119" t="s">
        <v>88</v>
      </c>
      <c r="I5" s="119" t="s">
        <v>88</v>
      </c>
      <c r="J5" s="119" t="s">
        <v>106</v>
      </c>
      <c r="K5" s="84" t="s">
        <v>91</v>
      </c>
      <c r="L5" s="179" t="s">
        <v>74</v>
      </c>
      <c r="M5" s="119" t="s">
        <v>85</v>
      </c>
      <c r="N5" s="84" t="s">
        <v>85</v>
      </c>
      <c r="O5" s="84" t="s">
        <v>74</v>
      </c>
      <c r="P5" s="84" t="s">
        <v>74</v>
      </c>
      <c r="Q5" s="84" t="s">
        <v>74</v>
      </c>
      <c r="R5" s="84" t="s">
        <v>74</v>
      </c>
      <c r="T5" s="295" t="s">
        <v>115</v>
      </c>
      <c r="U5" s="84" t="s">
        <v>115</v>
      </c>
      <c r="V5" s="84" t="s">
        <v>115</v>
      </c>
      <c r="W5" s="329" t="s">
        <v>115</v>
      </c>
      <c r="X5" s="143" t="s">
        <v>115</v>
      </c>
      <c r="Y5" s="179" t="s">
        <v>115</v>
      </c>
      <c r="Z5" s="143" t="s">
        <v>115</v>
      </c>
      <c r="AA5" s="143" t="s">
        <v>115</v>
      </c>
      <c r="AB5" s="143" t="s">
        <v>115</v>
      </c>
      <c r="AC5" s="143" t="s">
        <v>115</v>
      </c>
      <c r="AD5" s="143" t="s">
        <v>115</v>
      </c>
      <c r="AE5" s="143" t="s">
        <v>115</v>
      </c>
    </row>
    <row r="6" spans="1:31" x14ac:dyDescent="0.2">
      <c r="A6" s="142" t="s">
        <v>73</v>
      </c>
      <c r="B6" s="120"/>
      <c r="C6" s="120"/>
      <c r="D6" s="121"/>
      <c r="E6" s="119" t="s">
        <v>74</v>
      </c>
      <c r="F6" s="119" t="s">
        <v>74</v>
      </c>
      <c r="G6" s="119" t="s">
        <v>74</v>
      </c>
      <c r="H6" s="119" t="s">
        <v>74</v>
      </c>
      <c r="I6" s="119" t="s">
        <v>74</v>
      </c>
      <c r="J6" s="119" t="s">
        <v>74</v>
      </c>
      <c r="K6" s="84" t="s">
        <v>91</v>
      </c>
      <c r="L6" s="179" t="s">
        <v>74</v>
      </c>
      <c r="M6" s="119" t="s">
        <v>49</v>
      </c>
      <c r="N6" s="84" t="s">
        <v>49</v>
      </c>
      <c r="O6" s="84" t="s">
        <v>74</v>
      </c>
      <c r="P6" s="84" t="s">
        <v>74</v>
      </c>
      <c r="Q6" s="84" t="s">
        <v>74</v>
      </c>
      <c r="R6" s="84" t="s">
        <v>74</v>
      </c>
      <c r="T6" s="295" t="s">
        <v>91</v>
      </c>
      <c r="U6" s="84" t="s">
        <v>91</v>
      </c>
      <c r="V6" s="84" t="s">
        <v>91</v>
      </c>
      <c r="W6" s="329" t="s">
        <v>91</v>
      </c>
      <c r="X6" s="143" t="s">
        <v>91</v>
      </c>
      <c r="Y6" s="179" t="s">
        <v>91</v>
      </c>
      <c r="Z6" s="143" t="s">
        <v>91</v>
      </c>
      <c r="AA6" s="143" t="s">
        <v>91</v>
      </c>
      <c r="AB6" s="143" t="s">
        <v>91</v>
      </c>
      <c r="AC6" s="143" t="s">
        <v>91</v>
      </c>
      <c r="AD6" s="143" t="s">
        <v>91</v>
      </c>
      <c r="AE6" s="143" t="s">
        <v>91</v>
      </c>
    </row>
    <row r="7" spans="1:31" x14ac:dyDescent="0.2">
      <c r="A7" s="144" t="s">
        <v>2</v>
      </c>
      <c r="B7" s="1"/>
      <c r="C7" s="1"/>
      <c r="D7" s="2"/>
      <c r="E7" s="3">
        <v>100000</v>
      </c>
      <c r="F7" s="3">
        <v>100000</v>
      </c>
      <c r="G7" s="3">
        <v>100000</v>
      </c>
      <c r="H7" s="3">
        <v>100000</v>
      </c>
      <c r="I7" s="214">
        <v>125000</v>
      </c>
      <c r="J7" s="214">
        <v>125000</v>
      </c>
      <c r="K7" s="214">
        <v>125000</v>
      </c>
      <c r="L7" s="214">
        <v>125000</v>
      </c>
      <c r="M7" s="214">
        <v>125000</v>
      </c>
      <c r="N7" s="214">
        <v>125000</v>
      </c>
      <c r="O7" s="214">
        <v>125000</v>
      </c>
      <c r="P7" s="214">
        <v>125000</v>
      </c>
      <c r="Q7" s="214">
        <v>125000</v>
      </c>
      <c r="R7" s="214">
        <v>125000</v>
      </c>
      <c r="S7" s="214">
        <v>125000</v>
      </c>
      <c r="T7" s="296">
        <v>125000</v>
      </c>
      <c r="U7" s="322">
        <v>125000</v>
      </c>
      <c r="V7" s="322">
        <v>125000</v>
      </c>
      <c r="W7" s="330">
        <v>125000</v>
      </c>
      <c r="X7" s="227">
        <v>125000</v>
      </c>
      <c r="Y7" s="309">
        <v>125000</v>
      </c>
      <c r="Z7" s="227">
        <v>125000</v>
      </c>
      <c r="AA7" s="227">
        <v>125000</v>
      </c>
      <c r="AB7" s="227">
        <v>150000</v>
      </c>
      <c r="AC7" s="227">
        <v>150000</v>
      </c>
      <c r="AD7" s="227">
        <v>150000</v>
      </c>
      <c r="AE7" s="227">
        <v>150000</v>
      </c>
    </row>
    <row r="8" spans="1:31" x14ac:dyDescent="0.2">
      <c r="A8" s="144" t="s">
        <v>3</v>
      </c>
      <c r="B8" s="1"/>
      <c r="C8" s="1"/>
      <c r="D8" s="2"/>
      <c r="E8" s="203" t="s">
        <v>43</v>
      </c>
      <c r="F8" s="4" t="s">
        <v>43</v>
      </c>
      <c r="G8" s="203" t="s">
        <v>99</v>
      </c>
      <c r="H8" s="4" t="s">
        <v>99</v>
      </c>
      <c r="I8" s="4" t="s">
        <v>99</v>
      </c>
      <c r="J8" s="4" t="s">
        <v>99</v>
      </c>
      <c r="K8" s="4" t="s">
        <v>99</v>
      </c>
      <c r="L8" s="180" t="s">
        <v>43</v>
      </c>
      <c r="M8" s="122" t="s">
        <v>43</v>
      </c>
      <c r="N8" s="4" t="s">
        <v>43</v>
      </c>
      <c r="O8" s="4" t="s">
        <v>43</v>
      </c>
      <c r="P8" s="4" t="s">
        <v>43</v>
      </c>
      <c r="Q8" s="4" t="s">
        <v>43</v>
      </c>
      <c r="R8" s="4" t="s">
        <v>43</v>
      </c>
      <c r="T8" s="297" t="s">
        <v>99</v>
      </c>
      <c r="U8" s="4" t="s">
        <v>99</v>
      </c>
      <c r="V8" s="4" t="s">
        <v>99</v>
      </c>
      <c r="W8" s="331" t="s">
        <v>99</v>
      </c>
      <c r="X8" s="145" t="s">
        <v>99</v>
      </c>
      <c r="Y8" s="180" t="s">
        <v>99</v>
      </c>
      <c r="Z8" s="145" t="s">
        <v>99</v>
      </c>
      <c r="AA8" s="145" t="s">
        <v>99</v>
      </c>
      <c r="AB8" s="145" t="s">
        <v>99</v>
      </c>
      <c r="AC8" s="145" t="s">
        <v>99</v>
      </c>
      <c r="AD8" s="145" t="s">
        <v>99</v>
      </c>
      <c r="AE8" s="145" t="s">
        <v>99</v>
      </c>
    </row>
    <row r="9" spans="1:31" x14ac:dyDescent="0.2">
      <c r="A9" s="144" t="s">
        <v>80</v>
      </c>
      <c r="B9" s="1"/>
      <c r="C9" s="1"/>
      <c r="D9" s="2"/>
      <c r="E9" s="82" t="s">
        <v>77</v>
      </c>
      <c r="F9" s="82" t="s">
        <v>77</v>
      </c>
      <c r="G9" s="82" t="s">
        <v>77</v>
      </c>
      <c r="H9" s="82" t="s">
        <v>77</v>
      </c>
      <c r="I9" s="82" t="s">
        <v>77</v>
      </c>
      <c r="J9" s="82" t="s">
        <v>77</v>
      </c>
      <c r="K9" s="82" t="s">
        <v>77</v>
      </c>
      <c r="L9" s="181">
        <v>2000000</v>
      </c>
      <c r="M9" s="123">
        <v>5000000</v>
      </c>
      <c r="N9" s="109">
        <v>5000000</v>
      </c>
      <c r="O9" s="82">
        <v>5000000</v>
      </c>
      <c r="P9" s="82">
        <v>2000000</v>
      </c>
      <c r="Q9" s="82">
        <v>2000000</v>
      </c>
      <c r="R9" s="82">
        <v>2000000</v>
      </c>
      <c r="T9" s="298" t="s">
        <v>77</v>
      </c>
      <c r="U9" s="82" t="s">
        <v>77</v>
      </c>
      <c r="V9" s="82" t="s">
        <v>77</v>
      </c>
      <c r="W9" s="332" t="s">
        <v>77</v>
      </c>
      <c r="X9" s="146" t="s">
        <v>77</v>
      </c>
      <c r="Y9" s="181" t="s">
        <v>77</v>
      </c>
      <c r="Z9" s="146" t="s">
        <v>77</v>
      </c>
      <c r="AA9" s="146" t="s">
        <v>77</v>
      </c>
      <c r="AB9" s="146" t="s">
        <v>77</v>
      </c>
      <c r="AC9" s="146" t="s">
        <v>77</v>
      </c>
      <c r="AD9" s="146" t="s">
        <v>77</v>
      </c>
      <c r="AE9" s="146" t="s">
        <v>77</v>
      </c>
    </row>
    <row r="10" spans="1:31" x14ac:dyDescent="0.2">
      <c r="A10" s="144" t="s">
        <v>4</v>
      </c>
      <c r="B10" s="1"/>
      <c r="C10" s="1"/>
      <c r="D10" s="2"/>
      <c r="E10" s="203" t="s">
        <v>43</v>
      </c>
      <c r="F10" s="204" t="s">
        <v>43</v>
      </c>
      <c r="G10" s="203" t="s">
        <v>99</v>
      </c>
      <c r="H10" s="4" t="s">
        <v>99</v>
      </c>
      <c r="I10" s="4" t="s">
        <v>99</v>
      </c>
      <c r="J10" s="4" t="s">
        <v>99</v>
      </c>
      <c r="K10" s="4" t="s">
        <v>99</v>
      </c>
      <c r="L10" s="180" t="s">
        <v>43</v>
      </c>
      <c r="M10" s="122" t="s">
        <v>43</v>
      </c>
      <c r="N10" s="4" t="s">
        <v>43</v>
      </c>
      <c r="O10" s="4" t="s">
        <v>43</v>
      </c>
      <c r="P10" s="4" t="s">
        <v>43</v>
      </c>
      <c r="Q10" s="4" t="s">
        <v>43</v>
      </c>
      <c r="R10" s="4" t="s">
        <v>43</v>
      </c>
      <c r="T10" s="297" t="s">
        <v>99</v>
      </c>
      <c r="U10" s="4" t="s">
        <v>99</v>
      </c>
      <c r="V10" s="4" t="s">
        <v>99</v>
      </c>
      <c r="W10" s="331" t="s">
        <v>99</v>
      </c>
      <c r="X10" s="145" t="s">
        <v>99</v>
      </c>
      <c r="Y10" s="180" t="s">
        <v>99</v>
      </c>
      <c r="Z10" s="145" t="s">
        <v>99</v>
      </c>
      <c r="AA10" s="145" t="s">
        <v>99</v>
      </c>
      <c r="AB10" s="145" t="s">
        <v>99</v>
      </c>
      <c r="AC10" s="145" t="s">
        <v>99</v>
      </c>
      <c r="AD10" s="145" t="s">
        <v>99</v>
      </c>
      <c r="AE10" s="145" t="s">
        <v>99</v>
      </c>
    </row>
    <row r="11" spans="1:31" x14ac:dyDescent="0.2">
      <c r="A11" s="144" t="s">
        <v>81</v>
      </c>
      <c r="B11" s="1"/>
      <c r="C11" s="1"/>
      <c r="D11" s="2"/>
      <c r="E11" s="82">
        <v>1000000</v>
      </c>
      <c r="F11" s="82">
        <v>1000000</v>
      </c>
      <c r="G11" s="82">
        <v>1000000</v>
      </c>
      <c r="H11" s="82">
        <v>1000000</v>
      </c>
      <c r="I11" s="82">
        <v>1000000</v>
      </c>
      <c r="J11" s="82">
        <v>1000000</v>
      </c>
      <c r="K11" s="82" t="s">
        <v>77</v>
      </c>
      <c r="L11" s="181">
        <v>1000000</v>
      </c>
      <c r="M11" s="123">
        <v>1000000</v>
      </c>
      <c r="N11" s="109">
        <v>1000000</v>
      </c>
      <c r="O11" s="82">
        <v>1000000</v>
      </c>
      <c r="P11" s="82">
        <v>1000000</v>
      </c>
      <c r="Q11" s="82">
        <v>1000000</v>
      </c>
      <c r="R11" s="82">
        <v>1000000</v>
      </c>
      <c r="T11" s="298" t="s">
        <v>77</v>
      </c>
      <c r="U11" s="82" t="s">
        <v>77</v>
      </c>
      <c r="V11" s="82" t="s">
        <v>77</v>
      </c>
      <c r="W11" s="332" t="s">
        <v>77</v>
      </c>
      <c r="X11" s="146" t="s">
        <v>77</v>
      </c>
      <c r="Y11" s="181" t="s">
        <v>77</v>
      </c>
      <c r="Z11" s="146" t="s">
        <v>77</v>
      </c>
      <c r="AA11" s="146" t="s">
        <v>77</v>
      </c>
      <c r="AB11" s="146" t="s">
        <v>77</v>
      </c>
      <c r="AC11" s="146" t="s">
        <v>77</v>
      </c>
      <c r="AD11" s="146" t="s">
        <v>77</v>
      </c>
      <c r="AE11" s="146" t="s">
        <v>77</v>
      </c>
    </row>
    <row r="12" spans="1:31" x14ac:dyDescent="0.2">
      <c r="A12" s="144"/>
      <c r="B12" s="1"/>
      <c r="C12" s="1"/>
      <c r="D12" s="2"/>
      <c r="E12" s="4"/>
      <c r="F12" s="4"/>
      <c r="G12" s="4"/>
      <c r="H12" s="4"/>
      <c r="I12" s="4"/>
      <c r="J12" s="4"/>
      <c r="K12" s="4"/>
      <c r="L12" s="180"/>
      <c r="M12" s="122"/>
      <c r="N12" s="4"/>
      <c r="O12" s="4"/>
      <c r="P12" s="4"/>
      <c r="Q12" s="4"/>
      <c r="R12" s="4"/>
      <c r="T12" s="297"/>
      <c r="U12" s="4"/>
      <c r="V12" s="4"/>
      <c r="W12" s="331"/>
      <c r="X12" s="145"/>
      <c r="Y12" s="180"/>
      <c r="Z12" s="145"/>
      <c r="AA12" s="145"/>
      <c r="AB12" s="145"/>
      <c r="AC12" s="145"/>
      <c r="AD12" s="145"/>
      <c r="AE12" s="145"/>
    </row>
    <row r="13" spans="1:31" x14ac:dyDescent="0.2">
      <c r="A13" s="144" t="s">
        <v>103</v>
      </c>
      <c r="B13" s="1"/>
      <c r="C13" s="1"/>
      <c r="D13" s="2"/>
      <c r="E13" s="5">
        <f>71.54+4.09</f>
        <v>75.63000000000001</v>
      </c>
      <c r="F13" s="79">
        <v>75.63</v>
      </c>
      <c r="G13" s="83">
        <v>113.96</v>
      </c>
      <c r="H13" s="5">
        <v>97.79</v>
      </c>
      <c r="I13" s="5">
        <v>94.97</v>
      </c>
      <c r="J13" s="5">
        <v>95.18</v>
      </c>
      <c r="K13" s="5">
        <f>80.9+3.95</f>
        <v>84.850000000000009</v>
      </c>
      <c r="L13" s="182">
        <v>96.83</v>
      </c>
      <c r="M13" s="124">
        <v>77.08</v>
      </c>
      <c r="N13" s="5">
        <v>105.02</v>
      </c>
      <c r="O13" s="5">
        <v>77.73</v>
      </c>
      <c r="P13" s="5">
        <v>81.510000000000005</v>
      </c>
      <c r="Q13" s="5">
        <v>96.83</v>
      </c>
      <c r="R13" s="5">
        <v>96.83</v>
      </c>
      <c r="T13" s="299">
        <f>85.53+3.95</f>
        <v>89.48</v>
      </c>
      <c r="U13" s="5">
        <f>104.95+4.51</f>
        <v>109.46000000000001</v>
      </c>
      <c r="V13" s="5">
        <f>90.82+3.95</f>
        <v>94.77</v>
      </c>
      <c r="W13" s="333">
        <v>97.78</v>
      </c>
      <c r="X13" s="148">
        <f>88.68+3.72</f>
        <v>92.4</v>
      </c>
      <c r="Y13" s="182">
        <v>94.4</v>
      </c>
      <c r="Z13" s="148">
        <v>89.93</v>
      </c>
      <c r="AA13" s="148">
        <v>90.57</v>
      </c>
      <c r="AB13" s="148">
        <v>83.65</v>
      </c>
      <c r="AC13" s="148">
        <v>80</v>
      </c>
      <c r="AD13" s="148">
        <v>73.66</v>
      </c>
      <c r="AE13" s="148">
        <v>75.510000000000005</v>
      </c>
    </row>
    <row r="14" spans="1:31" x14ac:dyDescent="0.2">
      <c r="A14" s="228" t="s">
        <v>118</v>
      </c>
      <c r="B14" s="1"/>
      <c r="C14" s="1"/>
      <c r="D14" s="2"/>
      <c r="E14" s="5">
        <v>0</v>
      </c>
      <c r="F14" s="5">
        <v>0</v>
      </c>
      <c r="G14" s="5">
        <v>0</v>
      </c>
      <c r="H14" s="5">
        <v>0</v>
      </c>
      <c r="I14" s="5">
        <v>0</v>
      </c>
      <c r="J14" s="5">
        <v>0</v>
      </c>
      <c r="K14" s="5">
        <v>0</v>
      </c>
      <c r="L14" s="182">
        <v>0</v>
      </c>
      <c r="M14" s="124">
        <v>0</v>
      </c>
      <c r="N14" s="5">
        <v>0</v>
      </c>
      <c r="O14" s="5">
        <v>0</v>
      </c>
      <c r="P14" s="5">
        <v>0</v>
      </c>
      <c r="Q14" s="5">
        <v>0</v>
      </c>
      <c r="R14" s="5">
        <v>0</v>
      </c>
      <c r="T14" s="299">
        <v>0</v>
      </c>
      <c r="U14" s="5">
        <v>0</v>
      </c>
      <c r="V14" s="5">
        <v>0</v>
      </c>
      <c r="W14" s="333">
        <v>0</v>
      </c>
      <c r="X14" s="148">
        <v>0</v>
      </c>
      <c r="Y14" s="182">
        <v>0</v>
      </c>
      <c r="Z14" s="148">
        <v>0</v>
      </c>
      <c r="AA14" s="148">
        <v>0</v>
      </c>
      <c r="AB14" s="148">
        <v>0</v>
      </c>
      <c r="AC14" s="148">
        <v>0</v>
      </c>
      <c r="AD14" s="148">
        <v>0</v>
      </c>
      <c r="AE14" s="148">
        <v>0</v>
      </c>
    </row>
    <row r="15" spans="1:31" x14ac:dyDescent="0.2">
      <c r="A15" s="147"/>
      <c r="B15" s="1"/>
      <c r="C15" s="1"/>
      <c r="D15" s="2"/>
      <c r="E15" s="6"/>
      <c r="F15" s="6"/>
      <c r="G15" s="6"/>
      <c r="H15" s="6"/>
      <c r="I15" s="6"/>
      <c r="J15" s="6"/>
      <c r="K15" s="6"/>
      <c r="L15" s="183"/>
      <c r="M15" s="125"/>
      <c r="N15" s="6"/>
      <c r="O15" s="6"/>
      <c r="P15" s="6"/>
      <c r="Q15" s="6"/>
      <c r="R15" s="6"/>
      <c r="T15" s="291"/>
      <c r="U15" s="6"/>
      <c r="V15" s="6"/>
      <c r="W15" s="1"/>
      <c r="X15" s="150"/>
      <c r="Y15" s="183"/>
      <c r="Z15" s="149"/>
      <c r="AA15" s="149"/>
      <c r="AB15" s="149"/>
      <c r="AC15" s="149"/>
      <c r="AD15" s="149"/>
      <c r="AE15" s="149"/>
    </row>
    <row r="16" spans="1:31" x14ac:dyDescent="0.2">
      <c r="A16" s="144" t="s">
        <v>5</v>
      </c>
      <c r="B16" s="1"/>
      <c r="C16" s="1"/>
      <c r="D16" s="2"/>
      <c r="E16" s="7" t="e">
        <f>+(E13*$D$53)+(E14*$C$53)</f>
        <v>#VALUE!</v>
      </c>
      <c r="F16" s="7" t="e">
        <f>+(F13*$D$53)+(F14*$C$53)</f>
        <v>#VALUE!</v>
      </c>
      <c r="G16" s="7" t="e">
        <f>+(G13*$D$53)+(G14*$C$53)</f>
        <v>#VALUE!</v>
      </c>
      <c r="H16" s="7">
        <f t="shared" ref="H16:AE16" si="0">+(H13*$D$53)</f>
        <v>53295.55</v>
      </c>
      <c r="I16" s="7">
        <f t="shared" si="0"/>
        <v>51758.65</v>
      </c>
      <c r="J16" s="7">
        <f>+(J13*$D$53)</f>
        <v>51873.100000000006</v>
      </c>
      <c r="K16" s="7">
        <f t="shared" si="0"/>
        <v>46243.250000000007</v>
      </c>
      <c r="L16" s="7">
        <f t="shared" si="0"/>
        <v>52772.35</v>
      </c>
      <c r="M16" s="7">
        <f t="shared" si="0"/>
        <v>42008.6</v>
      </c>
      <c r="N16" s="7">
        <f t="shared" si="0"/>
        <v>57235.9</v>
      </c>
      <c r="O16" s="7">
        <f t="shared" si="0"/>
        <v>42362.85</v>
      </c>
      <c r="P16" s="7">
        <f t="shared" si="0"/>
        <v>44422.950000000004</v>
      </c>
      <c r="Q16" s="7">
        <f t="shared" si="0"/>
        <v>52772.35</v>
      </c>
      <c r="R16" s="7">
        <f t="shared" si="0"/>
        <v>52772.35</v>
      </c>
      <c r="S16" s="7">
        <f t="shared" si="0"/>
        <v>0</v>
      </c>
      <c r="T16" s="208">
        <f t="shared" si="0"/>
        <v>48766.6</v>
      </c>
      <c r="U16" s="7">
        <f t="shared" si="0"/>
        <v>59655.700000000004</v>
      </c>
      <c r="V16" s="7">
        <f t="shared" si="0"/>
        <v>51649.65</v>
      </c>
      <c r="W16" s="334">
        <f t="shared" si="0"/>
        <v>53290.1</v>
      </c>
      <c r="X16" s="150">
        <f>+(X13*$D$53)</f>
        <v>50358</v>
      </c>
      <c r="Y16" s="184">
        <f t="shared" si="0"/>
        <v>51448</v>
      </c>
      <c r="Z16" s="150">
        <f t="shared" si="0"/>
        <v>49011.850000000006</v>
      </c>
      <c r="AA16" s="150">
        <f t="shared" si="0"/>
        <v>49360.649999999994</v>
      </c>
      <c r="AB16" s="150">
        <f t="shared" si="0"/>
        <v>45589.25</v>
      </c>
      <c r="AC16" s="150">
        <f t="shared" si="0"/>
        <v>43600</v>
      </c>
      <c r="AD16" s="150">
        <f t="shared" si="0"/>
        <v>40144.699999999997</v>
      </c>
      <c r="AE16" s="150">
        <f t="shared" si="0"/>
        <v>41152.950000000004</v>
      </c>
    </row>
    <row r="17" spans="1:34" ht="13.5" thickBot="1" x14ac:dyDescent="0.25">
      <c r="A17" s="151" t="s">
        <v>6</v>
      </c>
      <c r="B17" s="8"/>
      <c r="C17" s="8"/>
      <c r="D17" s="9"/>
      <c r="E17" s="10" t="e">
        <f t="shared" ref="E17:R17" si="1">+E16*12</f>
        <v>#VALUE!</v>
      </c>
      <c r="F17" s="10" t="e">
        <f t="shared" si="1"/>
        <v>#VALUE!</v>
      </c>
      <c r="G17" s="10" t="e">
        <f t="shared" si="1"/>
        <v>#VALUE!</v>
      </c>
      <c r="H17" s="10">
        <f t="shared" si="1"/>
        <v>639546.60000000009</v>
      </c>
      <c r="I17" s="10">
        <f t="shared" si="1"/>
        <v>621103.80000000005</v>
      </c>
      <c r="J17" s="10">
        <f>+J16*12</f>
        <v>622477.20000000007</v>
      </c>
      <c r="K17" s="10">
        <f t="shared" si="1"/>
        <v>554919.00000000012</v>
      </c>
      <c r="L17" s="185">
        <f t="shared" si="1"/>
        <v>633268.19999999995</v>
      </c>
      <c r="M17" s="127">
        <f t="shared" si="1"/>
        <v>504103.19999999995</v>
      </c>
      <c r="N17" s="10">
        <f t="shared" si="1"/>
        <v>686830.8</v>
      </c>
      <c r="O17" s="10">
        <f t="shared" si="1"/>
        <v>508354.19999999995</v>
      </c>
      <c r="P17" s="10">
        <f t="shared" si="1"/>
        <v>533075.4</v>
      </c>
      <c r="Q17" s="10">
        <f t="shared" si="1"/>
        <v>633268.19999999995</v>
      </c>
      <c r="R17" s="10">
        <f t="shared" si="1"/>
        <v>633268.19999999995</v>
      </c>
      <c r="T17" s="300">
        <f t="shared" ref="T17:AE17" si="2">+T16*12</f>
        <v>585199.19999999995</v>
      </c>
      <c r="U17" s="10">
        <f t="shared" si="2"/>
        <v>715868.4</v>
      </c>
      <c r="V17" s="10">
        <f>+V16*12</f>
        <v>619795.80000000005</v>
      </c>
      <c r="W17" s="335">
        <f t="shared" si="2"/>
        <v>639481.19999999995</v>
      </c>
      <c r="X17" s="152">
        <f>+X16*12</f>
        <v>604296</v>
      </c>
      <c r="Y17" s="185">
        <f t="shared" si="2"/>
        <v>617376</v>
      </c>
      <c r="Z17" s="152">
        <f t="shared" si="2"/>
        <v>588142.20000000007</v>
      </c>
      <c r="AA17" s="152">
        <f t="shared" si="2"/>
        <v>592327.79999999993</v>
      </c>
      <c r="AB17" s="152">
        <f t="shared" si="2"/>
        <v>547071</v>
      </c>
      <c r="AC17" s="152">
        <f t="shared" si="2"/>
        <v>523200</v>
      </c>
      <c r="AD17" s="152">
        <f t="shared" si="2"/>
        <v>481736.39999999997</v>
      </c>
      <c r="AE17" s="152">
        <f t="shared" si="2"/>
        <v>493835.4</v>
      </c>
    </row>
    <row r="18" spans="1:34" ht="14.25" hidden="1" thickTop="1" thickBot="1" x14ac:dyDescent="0.25">
      <c r="A18" s="144" t="s">
        <v>7</v>
      </c>
      <c r="B18" s="1"/>
      <c r="C18" s="1"/>
      <c r="D18" s="2"/>
      <c r="E18" s="202" t="s">
        <v>41</v>
      </c>
      <c r="F18" s="202" t="s">
        <v>41</v>
      </c>
      <c r="G18" s="202" t="s">
        <v>41</v>
      </c>
      <c r="H18" s="202" t="s">
        <v>41</v>
      </c>
      <c r="I18" s="35" t="s">
        <v>41</v>
      </c>
      <c r="J18" s="35"/>
      <c r="K18" s="35" t="s">
        <v>41</v>
      </c>
      <c r="L18" s="35" t="s">
        <v>41</v>
      </c>
      <c r="M18" s="35" t="s">
        <v>41</v>
      </c>
      <c r="N18" s="35" t="s">
        <v>41</v>
      </c>
      <c r="O18" s="35" t="s">
        <v>41</v>
      </c>
      <c r="P18" s="35" t="s">
        <v>41</v>
      </c>
      <c r="Q18" s="35" t="s">
        <v>41</v>
      </c>
      <c r="R18" s="35" t="s">
        <v>41</v>
      </c>
      <c r="S18" s="35" t="s">
        <v>41</v>
      </c>
      <c r="T18" s="293" t="s">
        <v>41</v>
      </c>
      <c r="U18" s="35" t="s">
        <v>41</v>
      </c>
      <c r="V18" s="35" t="s">
        <v>41</v>
      </c>
      <c r="W18" s="238" t="s">
        <v>41</v>
      </c>
      <c r="X18" s="160" t="s">
        <v>41</v>
      </c>
      <c r="Y18" s="189" t="s">
        <v>41</v>
      </c>
      <c r="Z18" s="160" t="s">
        <v>41</v>
      </c>
      <c r="AA18" s="160" t="s">
        <v>41</v>
      </c>
      <c r="AB18" s="160" t="s">
        <v>41</v>
      </c>
      <c r="AC18" s="160" t="s">
        <v>41</v>
      </c>
      <c r="AD18" s="160" t="s">
        <v>41</v>
      </c>
      <c r="AE18" s="160" t="s">
        <v>41</v>
      </c>
    </row>
    <row r="19" spans="1:34" ht="14.25" hidden="1" thickTop="1" thickBot="1" x14ac:dyDescent="0.25">
      <c r="A19" s="144" t="s">
        <v>5</v>
      </c>
      <c r="B19" s="1"/>
      <c r="C19" s="1"/>
      <c r="D19" s="2"/>
      <c r="E19" s="7">
        <v>0</v>
      </c>
      <c r="F19" s="7" t="e">
        <f>+F18*$D$53</f>
        <v>#VALUE!</v>
      </c>
      <c r="G19" s="7">
        <f>0</f>
        <v>0</v>
      </c>
      <c r="H19" s="7">
        <f>0</f>
        <v>0</v>
      </c>
      <c r="I19" s="7">
        <v>0</v>
      </c>
      <c r="J19" s="7"/>
      <c r="K19" s="7">
        <v>0</v>
      </c>
      <c r="L19" s="7">
        <v>2</v>
      </c>
      <c r="M19" s="7">
        <v>3</v>
      </c>
      <c r="N19" s="7">
        <v>4</v>
      </c>
      <c r="O19" s="7">
        <v>5</v>
      </c>
      <c r="P19" s="7">
        <v>6</v>
      </c>
      <c r="Q19" s="7">
        <v>7</v>
      </c>
      <c r="R19" s="7">
        <v>8</v>
      </c>
      <c r="S19" s="7">
        <v>9</v>
      </c>
      <c r="T19" s="208">
        <v>0</v>
      </c>
      <c r="U19" s="7">
        <v>0</v>
      </c>
      <c r="V19" s="7">
        <v>0</v>
      </c>
      <c r="W19" s="334">
        <v>0</v>
      </c>
      <c r="X19" s="150">
        <v>0</v>
      </c>
      <c r="Y19" s="184">
        <v>0</v>
      </c>
      <c r="Z19" s="150">
        <v>0</v>
      </c>
      <c r="AA19" s="150">
        <v>0</v>
      </c>
      <c r="AB19" s="150">
        <v>0</v>
      </c>
      <c r="AC19" s="150">
        <v>0</v>
      </c>
      <c r="AD19" s="150">
        <v>0</v>
      </c>
      <c r="AE19" s="150">
        <v>0</v>
      </c>
    </row>
    <row r="20" spans="1:34" ht="14.25" hidden="1" thickTop="1" thickBot="1" x14ac:dyDescent="0.25">
      <c r="A20" s="151" t="s">
        <v>6</v>
      </c>
      <c r="B20" s="8"/>
      <c r="C20" s="8"/>
      <c r="D20" s="9"/>
      <c r="E20" s="10">
        <f t="shared" ref="E20:R20" si="3">+E19*12</f>
        <v>0</v>
      </c>
      <c r="F20" s="10" t="e">
        <f t="shared" si="3"/>
        <v>#VALUE!</v>
      </c>
      <c r="G20" s="10">
        <f t="shared" si="3"/>
        <v>0</v>
      </c>
      <c r="H20" s="10">
        <f t="shared" si="3"/>
        <v>0</v>
      </c>
      <c r="I20" s="10">
        <f t="shared" si="3"/>
        <v>0</v>
      </c>
      <c r="J20" s="10"/>
      <c r="K20" s="10">
        <f t="shared" si="3"/>
        <v>0</v>
      </c>
      <c r="L20" s="185">
        <f t="shared" si="3"/>
        <v>24</v>
      </c>
      <c r="M20" s="127">
        <f t="shared" si="3"/>
        <v>36</v>
      </c>
      <c r="N20" s="10">
        <f t="shared" si="3"/>
        <v>48</v>
      </c>
      <c r="O20" s="10">
        <f t="shared" si="3"/>
        <v>60</v>
      </c>
      <c r="P20" s="10">
        <f t="shared" si="3"/>
        <v>72</v>
      </c>
      <c r="Q20" s="10">
        <f t="shared" si="3"/>
        <v>84</v>
      </c>
      <c r="R20" s="10">
        <f t="shared" si="3"/>
        <v>96</v>
      </c>
      <c r="T20" s="300">
        <f t="shared" ref="T20:AE20" si="4">+T19*12</f>
        <v>0</v>
      </c>
      <c r="U20" s="10">
        <f t="shared" si="4"/>
        <v>0</v>
      </c>
      <c r="V20" s="10">
        <f t="shared" si="4"/>
        <v>0</v>
      </c>
      <c r="W20" s="335">
        <f t="shared" si="4"/>
        <v>0</v>
      </c>
      <c r="X20" s="152">
        <f t="shared" si="4"/>
        <v>0</v>
      </c>
      <c r="Y20" s="185">
        <f t="shared" si="4"/>
        <v>0</v>
      </c>
      <c r="Z20" s="152">
        <f t="shared" si="4"/>
        <v>0</v>
      </c>
      <c r="AA20" s="152">
        <f t="shared" si="4"/>
        <v>0</v>
      </c>
      <c r="AB20" s="152">
        <f t="shared" si="4"/>
        <v>0</v>
      </c>
      <c r="AC20" s="152">
        <f t="shared" si="4"/>
        <v>0</v>
      </c>
      <c r="AD20" s="152">
        <f t="shared" si="4"/>
        <v>0</v>
      </c>
      <c r="AE20" s="152">
        <f t="shared" si="4"/>
        <v>0</v>
      </c>
    </row>
    <row r="21" spans="1:34" ht="14.25" hidden="1" thickTop="1" thickBot="1" x14ac:dyDescent="0.25">
      <c r="A21" s="226" t="s">
        <v>114</v>
      </c>
      <c r="B21" s="1"/>
      <c r="C21" s="1"/>
      <c r="D21" s="2"/>
      <c r="E21" s="7"/>
      <c r="F21" s="7"/>
      <c r="G21" s="208"/>
      <c r="H21" s="208"/>
      <c r="I21" s="216" t="e">
        <f>#REF!</f>
        <v>#REF!</v>
      </c>
      <c r="J21" s="216" t="e">
        <f>#REF!</f>
        <v>#REF!</v>
      </c>
      <c r="K21" s="216" t="e">
        <f>#REF!</f>
        <v>#REF!</v>
      </c>
      <c r="L21" s="216" t="e">
        <f>#REF!</f>
        <v>#REF!</v>
      </c>
      <c r="M21" s="216" t="e">
        <f>#REF!</f>
        <v>#REF!</v>
      </c>
      <c r="N21" s="216" t="e">
        <f>#REF!</f>
        <v>#REF!</v>
      </c>
      <c r="O21" s="216" t="e">
        <f>#REF!</f>
        <v>#REF!</v>
      </c>
      <c r="P21" s="216" t="e">
        <f>#REF!</f>
        <v>#REF!</v>
      </c>
      <c r="Q21" s="216" t="e">
        <f>#REF!</f>
        <v>#REF!</v>
      </c>
      <c r="R21" s="216" t="e">
        <f>#REF!</f>
        <v>#REF!</v>
      </c>
      <c r="S21" s="216" t="e">
        <f>#REF!</f>
        <v>#REF!</v>
      </c>
      <c r="T21" s="301" t="s">
        <v>34</v>
      </c>
      <c r="U21" s="323" t="s">
        <v>34</v>
      </c>
      <c r="V21" s="323" t="s">
        <v>34</v>
      </c>
      <c r="W21" s="336" t="s">
        <v>34</v>
      </c>
      <c r="X21" s="225" t="s">
        <v>34</v>
      </c>
      <c r="Y21" s="310" t="s">
        <v>34</v>
      </c>
      <c r="Z21" s="225" t="s">
        <v>34</v>
      </c>
      <c r="AA21" s="225" t="s">
        <v>34</v>
      </c>
      <c r="AB21" s="225" t="s">
        <v>34</v>
      </c>
      <c r="AC21" s="225" t="s">
        <v>34</v>
      </c>
      <c r="AD21" s="225" t="s">
        <v>34</v>
      </c>
      <c r="AE21" s="225" t="s">
        <v>34</v>
      </c>
    </row>
    <row r="22" spans="1:34" ht="13.5" thickTop="1" x14ac:dyDescent="0.2">
      <c r="A22" s="153" t="s">
        <v>8</v>
      </c>
      <c r="B22" s="51"/>
      <c r="C22" s="51"/>
      <c r="D22" s="52"/>
      <c r="E22" s="53"/>
      <c r="F22" s="53"/>
      <c r="G22" s="197"/>
      <c r="H22" s="197"/>
      <c r="I22" s="53"/>
      <c r="J22" s="53"/>
      <c r="K22" s="53"/>
      <c r="L22" s="186"/>
      <c r="M22" s="128"/>
      <c r="N22" s="53"/>
      <c r="O22" s="53"/>
      <c r="P22" s="53"/>
      <c r="Q22" s="53"/>
      <c r="R22" s="53"/>
      <c r="T22" s="197"/>
      <c r="U22" s="53"/>
      <c r="V22" s="53"/>
      <c r="W22" s="51"/>
      <c r="X22" s="154"/>
      <c r="Y22" s="186"/>
      <c r="Z22" s="154"/>
      <c r="AA22" s="154"/>
      <c r="AB22" s="154"/>
      <c r="AC22" s="154"/>
      <c r="AD22" s="154"/>
      <c r="AE22" s="154"/>
    </row>
    <row r="23" spans="1:34" x14ac:dyDescent="0.2">
      <c r="A23" s="155" t="s">
        <v>9</v>
      </c>
      <c r="B23" s="11"/>
      <c r="C23" s="11"/>
      <c r="D23" s="12"/>
      <c r="E23" s="13">
        <v>569.79999999999995</v>
      </c>
      <c r="F23" s="13">
        <v>569.79999999999995</v>
      </c>
      <c r="G23" s="198">
        <v>757.98</v>
      </c>
      <c r="H23" s="198">
        <v>715</v>
      </c>
      <c r="I23" s="198">
        <v>1011.01</v>
      </c>
      <c r="J23" s="198">
        <v>962.28</v>
      </c>
      <c r="K23" s="13">
        <v>897.02</v>
      </c>
      <c r="L23" s="187">
        <v>713.05</v>
      </c>
      <c r="M23" s="129">
        <v>721.31</v>
      </c>
      <c r="N23" s="13">
        <v>674.74</v>
      </c>
      <c r="O23" s="13">
        <v>680.14</v>
      </c>
      <c r="P23" s="13">
        <v>941.28</v>
      </c>
      <c r="Q23" s="13">
        <v>713.05</v>
      </c>
      <c r="R23" s="13">
        <v>765.3</v>
      </c>
      <c r="T23" s="318">
        <v>856</v>
      </c>
      <c r="U23" s="324">
        <f>'2016 Renewal'!F23</f>
        <v>1270.71</v>
      </c>
      <c r="V23" s="324" t="e">
        <f>'2016 Renewal'!#REF!</f>
        <v>#REF!</v>
      </c>
      <c r="W23" s="337">
        <v>1182.1199999999999</v>
      </c>
      <c r="X23" s="344">
        <f>X70</f>
        <v>991.42779816513769</v>
      </c>
      <c r="Y23" s="187">
        <v>1187.78</v>
      </c>
      <c r="Z23" s="156">
        <v>1235.0899999999999</v>
      </c>
      <c r="AA23" s="156">
        <v>1188.3</v>
      </c>
      <c r="AB23" s="156">
        <v>1209.1600000000001</v>
      </c>
      <c r="AC23" s="156">
        <v>1252.69</v>
      </c>
      <c r="AD23" s="156">
        <v>1246.01</v>
      </c>
      <c r="AE23" s="156">
        <v>1201.8399999999999</v>
      </c>
    </row>
    <row r="24" spans="1:34" x14ac:dyDescent="0.2">
      <c r="A24" s="155" t="s">
        <v>10</v>
      </c>
      <c r="B24" s="11"/>
      <c r="C24" s="11"/>
      <c r="D24" s="12"/>
      <c r="E24" s="13">
        <v>0</v>
      </c>
      <c r="F24" s="13">
        <v>0</v>
      </c>
      <c r="G24" s="198">
        <v>0</v>
      </c>
      <c r="H24" s="198">
        <v>0</v>
      </c>
      <c r="I24" s="198">
        <v>0</v>
      </c>
      <c r="J24" s="198">
        <v>0</v>
      </c>
      <c r="K24" s="13">
        <v>0</v>
      </c>
      <c r="L24" s="187">
        <v>0</v>
      </c>
      <c r="M24" s="129">
        <v>0</v>
      </c>
      <c r="N24" s="13">
        <v>0</v>
      </c>
      <c r="O24" s="13">
        <v>0</v>
      </c>
      <c r="P24" s="13">
        <v>0</v>
      </c>
      <c r="Q24" s="13">
        <v>0</v>
      </c>
      <c r="R24" s="13">
        <v>0</v>
      </c>
      <c r="T24" s="198">
        <v>0</v>
      </c>
      <c r="U24" s="13">
        <v>0</v>
      </c>
      <c r="V24" s="13">
        <v>0</v>
      </c>
      <c r="W24" s="337">
        <v>0</v>
      </c>
      <c r="X24" s="156">
        <v>0</v>
      </c>
      <c r="Y24" s="187">
        <v>0</v>
      </c>
      <c r="Z24" s="156">
        <v>0</v>
      </c>
      <c r="AA24" s="156">
        <v>0</v>
      </c>
      <c r="AB24" s="156">
        <v>0</v>
      </c>
      <c r="AC24" s="156">
        <v>0</v>
      </c>
      <c r="AD24" s="156">
        <v>0</v>
      </c>
      <c r="AE24" s="156">
        <v>0</v>
      </c>
    </row>
    <row r="25" spans="1:34" x14ac:dyDescent="0.2">
      <c r="A25" s="155" t="s">
        <v>11</v>
      </c>
      <c r="B25" s="11"/>
      <c r="C25" s="11"/>
      <c r="D25" s="177"/>
      <c r="E25" s="193" t="e">
        <f>+(E23*$D$53)+(E24*$C$53)</f>
        <v>#VALUE!</v>
      </c>
      <c r="F25" s="193" t="e">
        <f>+(F23*$D$53)+(F24*$C$53)</f>
        <v>#VALUE!</v>
      </c>
      <c r="G25" s="193" t="e">
        <f>+(G23*$D$53)+(G24*$C$53)</f>
        <v>#VALUE!</v>
      </c>
      <c r="H25" s="193">
        <f t="shared" ref="H25:S25" si="5">+(H23*$D$53)</f>
        <v>389675</v>
      </c>
      <c r="I25" s="193">
        <f t="shared" si="5"/>
        <v>551000.44999999995</v>
      </c>
      <c r="J25" s="193">
        <f>+(J23*$D$53)</f>
        <v>524442.6</v>
      </c>
      <c r="K25" s="193">
        <f t="shared" si="5"/>
        <v>488875.89999999997</v>
      </c>
      <c r="L25" s="193">
        <f t="shared" si="5"/>
        <v>388612.25</v>
      </c>
      <c r="M25" s="193">
        <f t="shared" si="5"/>
        <v>393113.94999999995</v>
      </c>
      <c r="N25" s="193">
        <f t="shared" si="5"/>
        <v>367733.3</v>
      </c>
      <c r="O25" s="193">
        <f t="shared" si="5"/>
        <v>370676.3</v>
      </c>
      <c r="P25" s="193">
        <f t="shared" si="5"/>
        <v>512997.6</v>
      </c>
      <c r="Q25" s="193">
        <f t="shared" si="5"/>
        <v>388612.25</v>
      </c>
      <c r="R25" s="193">
        <f t="shared" si="5"/>
        <v>417088.5</v>
      </c>
      <c r="S25" s="193">
        <f t="shared" si="5"/>
        <v>0</v>
      </c>
      <c r="T25" s="193">
        <f>'2016 Renewal'!E25</f>
        <v>868106.7</v>
      </c>
      <c r="U25" s="14">
        <f>'2016 Renewal'!F25</f>
        <v>972093.15</v>
      </c>
      <c r="V25" s="14" t="e">
        <f>'2016 Renewal'!#REF!</f>
        <v>#REF!</v>
      </c>
      <c r="W25" s="319">
        <f t="shared" ref="W25:AE25" si="6">+(W23*$D$53)</f>
        <v>644255.39999999991</v>
      </c>
      <c r="X25" s="157">
        <f t="shared" si="6"/>
        <v>540328.15</v>
      </c>
      <c r="Y25" s="172">
        <f t="shared" si="6"/>
        <v>647340.1</v>
      </c>
      <c r="Z25" s="157">
        <f t="shared" si="6"/>
        <v>673124.04999999993</v>
      </c>
      <c r="AA25" s="157">
        <f t="shared" si="6"/>
        <v>647623.5</v>
      </c>
      <c r="AB25" s="157">
        <f t="shared" si="6"/>
        <v>658992.20000000007</v>
      </c>
      <c r="AC25" s="157">
        <f t="shared" si="6"/>
        <v>682716.05</v>
      </c>
      <c r="AD25" s="157">
        <f t="shared" si="6"/>
        <v>679075.45</v>
      </c>
      <c r="AE25" s="157">
        <f t="shared" si="6"/>
        <v>655002.79999999993</v>
      </c>
    </row>
    <row r="26" spans="1:34" ht="13.5" thickBot="1" x14ac:dyDescent="0.25">
      <c r="A26" s="173" t="s">
        <v>12</v>
      </c>
      <c r="B26" s="174"/>
      <c r="C26" s="174"/>
      <c r="D26" s="175"/>
      <c r="E26" s="176" t="e">
        <f t="shared" ref="E26:R26" si="7">+E25*12</f>
        <v>#VALUE!</v>
      </c>
      <c r="F26" s="176" t="e">
        <f t="shared" si="7"/>
        <v>#VALUE!</v>
      </c>
      <c r="G26" s="199" t="e">
        <f t="shared" si="7"/>
        <v>#VALUE!</v>
      </c>
      <c r="H26" s="199">
        <f t="shared" si="7"/>
        <v>4676100</v>
      </c>
      <c r="I26" s="199">
        <f t="shared" si="7"/>
        <v>6612005.3999999994</v>
      </c>
      <c r="J26" s="199">
        <f>+J25*12</f>
        <v>6293311.1999999993</v>
      </c>
      <c r="K26" s="176">
        <f t="shared" si="7"/>
        <v>5866510.7999999998</v>
      </c>
      <c r="L26" s="172">
        <f t="shared" si="7"/>
        <v>4663347</v>
      </c>
      <c r="M26" s="130">
        <f t="shared" si="7"/>
        <v>4717367.3999999994</v>
      </c>
      <c r="N26" s="14">
        <f t="shared" si="7"/>
        <v>4412799.5999999996</v>
      </c>
      <c r="O26" s="14">
        <f t="shared" si="7"/>
        <v>4448115.5999999996</v>
      </c>
      <c r="P26" s="14">
        <f t="shared" si="7"/>
        <v>6155971.1999999993</v>
      </c>
      <c r="Q26" s="14">
        <f t="shared" si="7"/>
        <v>4663347</v>
      </c>
      <c r="R26" s="14">
        <f t="shared" si="7"/>
        <v>5005062</v>
      </c>
      <c r="T26" s="199">
        <f>T25*12</f>
        <v>10417280.399999999</v>
      </c>
      <c r="U26" s="176">
        <f>+U25*12</f>
        <v>11665117.800000001</v>
      </c>
      <c r="V26" s="176" t="e">
        <f>+V25*12</f>
        <v>#REF!</v>
      </c>
      <c r="W26" s="338">
        <f t="shared" ref="W26:AE26" si="8">+W25*12</f>
        <v>7731064.7999999989</v>
      </c>
      <c r="X26" s="224">
        <f>+X25*12</f>
        <v>6483937.8000000007</v>
      </c>
      <c r="Y26" s="311">
        <f t="shared" si="8"/>
        <v>7768081.1999999993</v>
      </c>
      <c r="Z26" s="224">
        <f t="shared" si="8"/>
        <v>8077488.5999999996</v>
      </c>
      <c r="AA26" s="224">
        <f t="shared" si="8"/>
        <v>7771482</v>
      </c>
      <c r="AB26" s="224">
        <f t="shared" si="8"/>
        <v>7907906.4000000004</v>
      </c>
      <c r="AC26" s="224">
        <f t="shared" si="8"/>
        <v>8192592.6000000006</v>
      </c>
      <c r="AD26" s="224">
        <f t="shared" si="8"/>
        <v>8148905.3999999994</v>
      </c>
      <c r="AE26" s="224">
        <f t="shared" si="8"/>
        <v>7860033.5999999996</v>
      </c>
    </row>
    <row r="27" spans="1:34" ht="14.25" thickTop="1" thickBot="1" x14ac:dyDescent="0.25">
      <c r="A27" s="169" t="s">
        <v>149</v>
      </c>
      <c r="B27" s="11"/>
      <c r="C27" s="11"/>
      <c r="D27" s="12"/>
      <c r="E27" s="14" t="e">
        <f t="shared" ref="E27:K27" si="9">E26/1.25</f>
        <v>#VALUE!</v>
      </c>
      <c r="F27" s="14" t="e">
        <f t="shared" si="9"/>
        <v>#VALUE!</v>
      </c>
      <c r="G27" s="14" t="e">
        <f t="shared" si="9"/>
        <v>#VALUE!</v>
      </c>
      <c r="H27" s="14">
        <f t="shared" si="9"/>
        <v>3740880</v>
      </c>
      <c r="I27" s="14">
        <f t="shared" si="9"/>
        <v>5289604.3199999994</v>
      </c>
      <c r="J27" s="14">
        <f>J26/1.25</f>
        <v>5034648.959999999</v>
      </c>
      <c r="K27" s="14">
        <f t="shared" si="9"/>
        <v>4693208.6399999997</v>
      </c>
      <c r="L27" s="172"/>
      <c r="M27" s="130"/>
      <c r="N27" s="14"/>
      <c r="O27" s="14"/>
      <c r="P27" s="14"/>
      <c r="Q27" s="14"/>
      <c r="R27" s="14"/>
      <c r="T27" s="193">
        <f>T26/1.25</f>
        <v>8333824.3199999984</v>
      </c>
      <c r="U27" s="14">
        <f>U26/1.25</f>
        <v>9332094.2400000002</v>
      </c>
      <c r="V27" s="14" t="e">
        <f>V26/1.25</f>
        <v>#REF!</v>
      </c>
      <c r="W27" s="319">
        <f t="shared" ref="W27:AE27" si="10">W26/1.25</f>
        <v>6184851.8399999989</v>
      </c>
      <c r="X27" s="157">
        <f>X26/1.25</f>
        <v>5187150.24</v>
      </c>
      <c r="Y27" s="172">
        <f t="shared" si="10"/>
        <v>6214464.959999999</v>
      </c>
      <c r="Z27" s="157">
        <f t="shared" si="10"/>
        <v>6461990.8799999999</v>
      </c>
      <c r="AA27" s="157">
        <f t="shared" si="10"/>
        <v>6217185.5999999996</v>
      </c>
      <c r="AB27" s="157">
        <f t="shared" si="10"/>
        <v>6326325.1200000001</v>
      </c>
      <c r="AC27" s="157">
        <f t="shared" si="10"/>
        <v>6554074.0800000001</v>
      </c>
      <c r="AD27" s="157">
        <f t="shared" si="10"/>
        <v>6519124.3199999994</v>
      </c>
      <c r="AE27" s="157">
        <f t="shared" si="10"/>
        <v>6288026.8799999999</v>
      </c>
      <c r="AG27" s="36">
        <f>32.48+AE13</f>
        <v>107.99000000000001</v>
      </c>
      <c r="AH27" s="36">
        <f>36.35+AE13</f>
        <v>111.86000000000001</v>
      </c>
    </row>
    <row r="28" spans="1:34" ht="13.5" hidden="1" thickBot="1" x14ac:dyDescent="0.25">
      <c r="A28" s="169" t="s">
        <v>117</v>
      </c>
      <c r="B28" s="11"/>
      <c r="C28" s="11"/>
      <c r="D28" s="12"/>
      <c r="E28" s="14"/>
      <c r="F28" s="14"/>
      <c r="G28" s="14"/>
      <c r="H28" s="14"/>
      <c r="I28" s="14"/>
      <c r="J28" s="14"/>
      <c r="K28" s="14"/>
      <c r="L28" s="172"/>
      <c r="M28" s="130"/>
      <c r="N28" s="14"/>
      <c r="O28" s="14"/>
      <c r="P28" s="14"/>
      <c r="Q28" s="14"/>
      <c r="R28" s="14"/>
      <c r="T28" s="302" t="s">
        <v>34</v>
      </c>
      <c r="U28" s="14">
        <v>4908989</v>
      </c>
      <c r="V28" s="14">
        <v>4908989</v>
      </c>
      <c r="W28" s="319">
        <v>4908989</v>
      </c>
      <c r="X28" s="157">
        <v>4908989</v>
      </c>
      <c r="Y28" s="172">
        <v>4908989</v>
      </c>
      <c r="Z28" s="157">
        <v>4908989</v>
      </c>
      <c r="AA28" s="157">
        <v>4908989</v>
      </c>
      <c r="AB28" s="157">
        <v>4908989</v>
      </c>
      <c r="AC28" s="157">
        <v>4908989</v>
      </c>
      <c r="AD28" s="157">
        <v>4908989</v>
      </c>
      <c r="AE28" s="157">
        <v>4908989</v>
      </c>
      <c r="AG28" s="36"/>
      <c r="AH28" s="36"/>
    </row>
    <row r="29" spans="1:34" ht="14.25" thickTop="1" thickBot="1" x14ac:dyDescent="0.25">
      <c r="A29" s="158"/>
      <c r="B29" s="15"/>
      <c r="C29" s="15"/>
      <c r="D29" s="16"/>
      <c r="E29" s="17"/>
      <c r="F29" s="17"/>
      <c r="G29" s="17"/>
      <c r="H29" s="17"/>
      <c r="I29" s="17"/>
      <c r="J29" s="17"/>
      <c r="K29" s="17"/>
      <c r="L29" s="188"/>
      <c r="M29" s="131"/>
      <c r="N29" s="17"/>
      <c r="O29" s="17"/>
      <c r="P29" s="17"/>
      <c r="Q29" s="17"/>
      <c r="R29" s="17"/>
      <c r="T29" s="303"/>
      <c r="U29" s="325"/>
      <c r="V29" s="350"/>
      <c r="W29" s="339"/>
      <c r="X29" s="288"/>
      <c r="Y29" s="360">
        <f>X29/T26</f>
        <v>0</v>
      </c>
      <c r="Z29" s="159"/>
      <c r="AA29" s="159"/>
      <c r="AB29" s="159"/>
      <c r="AC29" s="159"/>
      <c r="AD29" s="159"/>
      <c r="AE29" s="159"/>
    </row>
    <row r="30" spans="1:34" s="80" customFormat="1" ht="13.5" thickTop="1" x14ac:dyDescent="0.2">
      <c r="A30" s="144" t="s">
        <v>72</v>
      </c>
      <c r="B30" s="1"/>
      <c r="C30" s="1"/>
      <c r="D30" s="2"/>
      <c r="E30" s="83">
        <v>38.04</v>
      </c>
      <c r="F30" s="83">
        <v>38.04</v>
      </c>
      <c r="G30" s="83">
        <v>39.18</v>
      </c>
      <c r="H30" s="83">
        <v>39.18</v>
      </c>
      <c r="I30" s="83">
        <v>35</v>
      </c>
      <c r="J30" s="83">
        <v>35</v>
      </c>
      <c r="K30" s="83">
        <v>35.299999999999997</v>
      </c>
      <c r="L30" s="83">
        <v>39.18</v>
      </c>
      <c r="M30" s="83">
        <v>39.18</v>
      </c>
      <c r="N30" s="83">
        <v>39.18</v>
      </c>
      <c r="O30" s="83">
        <v>39.18</v>
      </c>
      <c r="P30" s="83">
        <v>39.18</v>
      </c>
      <c r="Q30" s="83">
        <v>39.18</v>
      </c>
      <c r="R30" s="83">
        <v>39.18</v>
      </c>
      <c r="S30" s="83">
        <v>39.18</v>
      </c>
      <c r="T30" s="304">
        <f>19.63+0.34</f>
        <v>19.97</v>
      </c>
      <c r="U30" s="326">
        <f>20.22+0.34</f>
        <v>20.56</v>
      </c>
      <c r="V30" s="326">
        <f>20.22+0.34</f>
        <v>20.56</v>
      </c>
      <c r="W30" s="340">
        <v>20.56</v>
      </c>
      <c r="X30" s="230">
        <f>20.22+0.34</f>
        <v>20.56</v>
      </c>
      <c r="Y30" s="312">
        <f>20.56+1.5</f>
        <v>22.06</v>
      </c>
      <c r="Z30" s="316">
        <f>20.56+1.5</f>
        <v>22.06</v>
      </c>
      <c r="AA30" s="316">
        <f>20.56+1.5</f>
        <v>22.06</v>
      </c>
      <c r="AB30" s="230">
        <v>20.56</v>
      </c>
      <c r="AC30" s="230">
        <v>20.56</v>
      </c>
      <c r="AD30" s="230">
        <v>20.56</v>
      </c>
      <c r="AE30" s="230">
        <v>20.56</v>
      </c>
    </row>
    <row r="31" spans="1:34" x14ac:dyDescent="0.2">
      <c r="A31" s="226" t="s">
        <v>143</v>
      </c>
      <c r="B31" s="1"/>
      <c r="C31" s="1"/>
      <c r="D31" s="2"/>
      <c r="E31" s="35" t="s">
        <v>41</v>
      </c>
      <c r="F31" s="35" t="s">
        <v>41</v>
      </c>
      <c r="G31" s="35" t="s">
        <v>41</v>
      </c>
      <c r="H31" s="35" t="s">
        <v>41</v>
      </c>
      <c r="I31" s="35" t="s">
        <v>41</v>
      </c>
      <c r="J31" s="35" t="s">
        <v>41</v>
      </c>
      <c r="K31" s="35" t="s">
        <v>41</v>
      </c>
      <c r="L31" s="189" t="s">
        <v>41</v>
      </c>
      <c r="M31" s="132" t="s">
        <v>41</v>
      </c>
      <c r="N31" s="35" t="s">
        <v>41</v>
      </c>
      <c r="O31" s="35" t="s">
        <v>41</v>
      </c>
      <c r="P31" s="35" t="s">
        <v>41</v>
      </c>
      <c r="Q31" s="35" t="s">
        <v>41</v>
      </c>
      <c r="R31" s="35" t="s">
        <v>41</v>
      </c>
      <c r="T31" s="292">
        <v>16.38</v>
      </c>
      <c r="U31" s="327">
        <v>16.87</v>
      </c>
      <c r="V31" s="327">
        <v>16.87</v>
      </c>
      <c r="W31" s="290">
        <v>16.87</v>
      </c>
      <c r="X31" s="237">
        <v>16.87</v>
      </c>
      <c r="Y31" s="289">
        <v>16.87</v>
      </c>
      <c r="Z31" s="237">
        <v>16.87</v>
      </c>
      <c r="AA31" s="237">
        <v>16.87</v>
      </c>
      <c r="AB31" s="237" t="s">
        <v>128</v>
      </c>
      <c r="AC31" s="237" t="s">
        <v>128</v>
      </c>
      <c r="AD31" s="237" t="s">
        <v>128</v>
      </c>
      <c r="AE31" s="237" t="s">
        <v>128</v>
      </c>
    </row>
    <row r="32" spans="1:34" x14ac:dyDescent="0.2">
      <c r="A32" s="226" t="s">
        <v>144</v>
      </c>
      <c r="B32" s="1"/>
      <c r="C32" s="1"/>
      <c r="D32" s="25"/>
      <c r="E32" s="238"/>
      <c r="F32" s="238"/>
      <c r="G32" s="238"/>
      <c r="H32" s="238"/>
      <c r="I32" s="238"/>
      <c r="J32" s="238"/>
      <c r="K32" s="238"/>
      <c r="L32" s="238"/>
      <c r="M32" s="238"/>
      <c r="N32" s="238"/>
      <c r="O32" s="238"/>
      <c r="P32" s="238"/>
      <c r="Q32" s="238"/>
      <c r="R32" s="238"/>
      <c r="T32" s="292">
        <v>12.51</v>
      </c>
      <c r="U32" s="327">
        <v>12.89</v>
      </c>
      <c r="V32" s="327">
        <v>12.89</v>
      </c>
      <c r="W32" s="290">
        <v>12.89</v>
      </c>
      <c r="X32" s="237">
        <v>12.89</v>
      </c>
      <c r="Y32" s="289">
        <v>12.89</v>
      </c>
      <c r="Z32" s="237">
        <v>12.89</v>
      </c>
      <c r="AA32" s="237">
        <v>12.89</v>
      </c>
      <c r="AB32" s="237"/>
      <c r="AC32" s="237"/>
      <c r="AD32" s="237"/>
      <c r="AE32" s="237"/>
    </row>
    <row r="33" spans="1:31" hidden="1" x14ac:dyDescent="0.2">
      <c r="A33" s="144" t="s">
        <v>83</v>
      </c>
      <c r="B33" s="1"/>
      <c r="C33" s="1"/>
      <c r="D33" s="25"/>
      <c r="E33" s="238" t="s">
        <v>41</v>
      </c>
      <c r="F33" s="238" t="s">
        <v>41</v>
      </c>
      <c r="G33" s="238" t="s">
        <v>41</v>
      </c>
      <c r="H33" s="238" t="s">
        <v>41</v>
      </c>
      <c r="I33" s="238" t="s">
        <v>41</v>
      </c>
      <c r="J33" s="238" t="s">
        <v>41</v>
      </c>
      <c r="K33" s="238" t="s">
        <v>41</v>
      </c>
      <c r="L33" s="238" t="s">
        <v>41</v>
      </c>
      <c r="M33" s="238" t="s">
        <v>41</v>
      </c>
      <c r="N33" s="238" t="s">
        <v>41</v>
      </c>
      <c r="O33" s="238" t="s">
        <v>41</v>
      </c>
      <c r="P33" s="238" t="s">
        <v>41</v>
      </c>
      <c r="Q33" s="238" t="s">
        <v>41</v>
      </c>
      <c r="R33" s="238" t="s">
        <v>41</v>
      </c>
      <c r="T33" s="293" t="s">
        <v>41</v>
      </c>
      <c r="U33" s="35" t="s">
        <v>41</v>
      </c>
      <c r="V33" s="35" t="s">
        <v>41</v>
      </c>
      <c r="W33" s="238" t="s">
        <v>41</v>
      </c>
      <c r="X33" s="160" t="s">
        <v>41</v>
      </c>
      <c r="Y33" s="189" t="s">
        <v>41</v>
      </c>
      <c r="Z33" s="160" t="s">
        <v>41</v>
      </c>
      <c r="AA33" s="160" t="s">
        <v>41</v>
      </c>
      <c r="AB33" s="160" t="s">
        <v>41</v>
      </c>
      <c r="AC33" s="160" t="s">
        <v>41</v>
      </c>
      <c r="AD33" s="160" t="s">
        <v>41</v>
      </c>
      <c r="AE33" s="160" t="s">
        <v>41</v>
      </c>
    </row>
    <row r="34" spans="1:31" hidden="1" x14ac:dyDescent="0.2">
      <c r="A34" s="144" t="s">
        <v>42</v>
      </c>
      <c r="B34" s="1"/>
      <c r="C34" s="1"/>
      <c r="D34" s="25"/>
      <c r="E34" s="238" t="s">
        <v>41</v>
      </c>
      <c r="F34" s="238" t="s">
        <v>41</v>
      </c>
      <c r="G34" s="238" t="s">
        <v>41</v>
      </c>
      <c r="H34" s="238" t="s">
        <v>41</v>
      </c>
      <c r="I34" s="238" t="s">
        <v>41</v>
      </c>
      <c r="J34" s="238" t="s">
        <v>41</v>
      </c>
      <c r="K34" s="238" t="s">
        <v>41</v>
      </c>
      <c r="L34" s="238" t="s">
        <v>41</v>
      </c>
      <c r="M34" s="238" t="s">
        <v>41</v>
      </c>
      <c r="N34" s="238" t="s">
        <v>41</v>
      </c>
      <c r="O34" s="238" t="s">
        <v>41</v>
      </c>
      <c r="P34" s="238" t="s">
        <v>41</v>
      </c>
      <c r="Q34" s="238" t="s">
        <v>41</v>
      </c>
      <c r="R34" s="238" t="s">
        <v>41</v>
      </c>
      <c r="T34" s="293" t="s">
        <v>41</v>
      </c>
      <c r="U34" s="35" t="s">
        <v>41</v>
      </c>
      <c r="V34" s="35" t="s">
        <v>41</v>
      </c>
      <c r="W34" s="238" t="s">
        <v>41</v>
      </c>
      <c r="X34" s="160" t="s">
        <v>41</v>
      </c>
      <c r="Y34" s="189" t="s">
        <v>41</v>
      </c>
      <c r="Z34" s="160" t="s">
        <v>41</v>
      </c>
      <c r="AA34" s="160" t="s">
        <v>41</v>
      </c>
      <c r="AB34" s="160" t="s">
        <v>41</v>
      </c>
      <c r="AC34" s="160" t="s">
        <v>41</v>
      </c>
      <c r="AD34" s="160" t="s">
        <v>41</v>
      </c>
      <c r="AE34" s="160" t="s">
        <v>41</v>
      </c>
    </row>
    <row r="35" spans="1:31" hidden="1" x14ac:dyDescent="0.2">
      <c r="A35" s="144" t="s">
        <v>84</v>
      </c>
      <c r="B35" s="1"/>
      <c r="C35" s="1"/>
      <c r="D35" s="25"/>
      <c r="E35" s="238" t="s">
        <v>41</v>
      </c>
      <c r="F35" s="238" t="s">
        <v>41</v>
      </c>
      <c r="G35" s="238" t="s">
        <v>41</v>
      </c>
      <c r="H35" s="238" t="s">
        <v>41</v>
      </c>
      <c r="I35" s="238" t="s">
        <v>41</v>
      </c>
      <c r="J35" s="238" t="s">
        <v>41</v>
      </c>
      <c r="K35" s="238" t="s">
        <v>41</v>
      </c>
      <c r="L35" s="238" t="s">
        <v>41</v>
      </c>
      <c r="M35" s="238" t="s">
        <v>41</v>
      </c>
      <c r="N35" s="238" t="s">
        <v>41</v>
      </c>
      <c r="O35" s="238" t="s">
        <v>41</v>
      </c>
      <c r="P35" s="238" t="s">
        <v>41</v>
      </c>
      <c r="Q35" s="238" t="s">
        <v>41</v>
      </c>
      <c r="R35" s="238" t="s">
        <v>41</v>
      </c>
      <c r="T35" s="293" t="s">
        <v>41</v>
      </c>
      <c r="U35" s="35" t="s">
        <v>41</v>
      </c>
      <c r="V35" s="35" t="s">
        <v>41</v>
      </c>
      <c r="W35" s="238" t="s">
        <v>41</v>
      </c>
      <c r="X35" s="160" t="s">
        <v>41</v>
      </c>
      <c r="Y35" s="189" t="s">
        <v>41</v>
      </c>
      <c r="Z35" s="160" t="s">
        <v>41</v>
      </c>
      <c r="AA35" s="160" t="s">
        <v>41</v>
      </c>
      <c r="AB35" s="160" t="s">
        <v>41</v>
      </c>
      <c r="AC35" s="160" t="s">
        <v>41</v>
      </c>
      <c r="AD35" s="160" t="s">
        <v>41</v>
      </c>
      <c r="AE35" s="160" t="s">
        <v>41</v>
      </c>
    </row>
    <row r="36" spans="1:31" hidden="1" x14ac:dyDescent="0.2">
      <c r="A36" s="144" t="s">
        <v>17</v>
      </c>
      <c r="B36" s="1"/>
      <c r="C36" s="1"/>
      <c r="D36" s="25"/>
      <c r="E36" s="238" t="s">
        <v>41</v>
      </c>
      <c r="F36" s="238" t="s">
        <v>41</v>
      </c>
      <c r="G36" s="238" t="s">
        <v>41</v>
      </c>
      <c r="H36" s="238" t="s">
        <v>41</v>
      </c>
      <c r="I36" s="238" t="s">
        <v>41</v>
      </c>
      <c r="J36" s="238" t="s">
        <v>41</v>
      </c>
      <c r="K36" s="238" t="s">
        <v>41</v>
      </c>
      <c r="L36" s="238" t="s">
        <v>41</v>
      </c>
      <c r="M36" s="238" t="s">
        <v>41</v>
      </c>
      <c r="N36" s="238" t="s">
        <v>41</v>
      </c>
      <c r="O36" s="238" t="s">
        <v>41</v>
      </c>
      <c r="P36" s="238" t="s">
        <v>41</v>
      </c>
      <c r="Q36" s="238" t="s">
        <v>41</v>
      </c>
      <c r="R36" s="238" t="s">
        <v>41</v>
      </c>
      <c r="S36" s="238" t="s">
        <v>41</v>
      </c>
      <c r="T36" s="293" t="s">
        <v>41</v>
      </c>
      <c r="U36" s="35" t="s">
        <v>41</v>
      </c>
      <c r="V36" s="35" t="s">
        <v>41</v>
      </c>
      <c r="W36" s="238" t="s">
        <v>41</v>
      </c>
      <c r="X36" s="160" t="s">
        <v>41</v>
      </c>
      <c r="Y36" s="189" t="s">
        <v>41</v>
      </c>
      <c r="Z36" s="160" t="s">
        <v>41</v>
      </c>
      <c r="AA36" s="160" t="s">
        <v>41</v>
      </c>
      <c r="AB36" s="160" t="s">
        <v>41</v>
      </c>
      <c r="AC36" s="160" t="s">
        <v>41</v>
      </c>
      <c r="AD36" s="160" t="s">
        <v>41</v>
      </c>
      <c r="AE36" s="160" t="s">
        <v>41</v>
      </c>
    </row>
    <row r="37" spans="1:31" hidden="1" x14ac:dyDescent="0.2">
      <c r="A37" s="144" t="s">
        <v>18</v>
      </c>
      <c r="B37" s="1"/>
      <c r="C37" s="1"/>
      <c r="D37" s="25"/>
      <c r="E37" s="238" t="s">
        <v>41</v>
      </c>
      <c r="F37" s="238" t="s">
        <v>41</v>
      </c>
      <c r="G37" s="238" t="s">
        <v>41</v>
      </c>
      <c r="H37" s="238" t="s">
        <v>41</v>
      </c>
      <c r="I37" s="238" t="s">
        <v>41</v>
      </c>
      <c r="J37" s="238" t="s">
        <v>41</v>
      </c>
      <c r="K37" s="238" t="s">
        <v>41</v>
      </c>
      <c r="L37" s="238" t="s">
        <v>41</v>
      </c>
      <c r="M37" s="238" t="s">
        <v>41</v>
      </c>
      <c r="N37" s="238" t="s">
        <v>41</v>
      </c>
      <c r="O37" s="238" t="s">
        <v>41</v>
      </c>
      <c r="P37" s="238" t="s">
        <v>41</v>
      </c>
      <c r="Q37" s="238" t="s">
        <v>41</v>
      </c>
      <c r="R37" s="238" t="s">
        <v>41</v>
      </c>
      <c r="S37" s="238" t="s">
        <v>41</v>
      </c>
      <c r="T37" s="293" t="s">
        <v>41</v>
      </c>
      <c r="U37" s="35" t="s">
        <v>41</v>
      </c>
      <c r="V37" s="35" t="s">
        <v>41</v>
      </c>
      <c r="W37" s="238" t="s">
        <v>41</v>
      </c>
      <c r="X37" s="160" t="s">
        <v>41</v>
      </c>
      <c r="Y37" s="189" t="s">
        <v>41</v>
      </c>
      <c r="Z37" s="160" t="s">
        <v>41</v>
      </c>
      <c r="AA37" s="160" t="s">
        <v>41</v>
      </c>
      <c r="AB37" s="160" t="s">
        <v>41</v>
      </c>
      <c r="AC37" s="160" t="s">
        <v>41</v>
      </c>
      <c r="AD37" s="160" t="s">
        <v>41</v>
      </c>
      <c r="AE37" s="160" t="s">
        <v>41</v>
      </c>
    </row>
    <row r="38" spans="1:31" x14ac:dyDescent="0.2">
      <c r="A38" s="226" t="s">
        <v>129</v>
      </c>
      <c r="B38" s="1"/>
      <c r="C38" s="1"/>
      <c r="D38" s="25"/>
      <c r="E38" s="238"/>
      <c r="F38" s="238"/>
      <c r="G38" s="238"/>
      <c r="H38" s="238"/>
      <c r="I38" s="238"/>
      <c r="J38" s="238"/>
      <c r="K38" s="238"/>
      <c r="L38" s="238"/>
      <c r="M38" s="238"/>
      <c r="N38" s="238"/>
      <c r="O38" s="238"/>
      <c r="P38" s="238"/>
      <c r="Q38" s="238"/>
      <c r="R38" s="238"/>
      <c r="S38" s="238"/>
      <c r="T38" s="293">
        <v>5.94</v>
      </c>
      <c r="U38" s="35">
        <v>5.94</v>
      </c>
      <c r="V38" s="35">
        <v>5.94</v>
      </c>
      <c r="W38" s="238">
        <v>71.28</v>
      </c>
      <c r="X38" s="160">
        <v>5.94</v>
      </c>
      <c r="Y38" s="189">
        <f>V38</f>
        <v>5.94</v>
      </c>
      <c r="Z38" s="160">
        <v>71.28</v>
      </c>
      <c r="AA38" s="160">
        <f>Y38</f>
        <v>5.94</v>
      </c>
      <c r="AB38" s="160">
        <v>71.28</v>
      </c>
      <c r="AC38" s="160">
        <v>71.28</v>
      </c>
      <c r="AD38" s="160">
        <v>71.28</v>
      </c>
      <c r="AE38" s="160">
        <v>71.28</v>
      </c>
    </row>
    <row r="39" spans="1:31" x14ac:dyDescent="0.2">
      <c r="A39" s="144" t="s">
        <v>5</v>
      </c>
      <c r="B39" s="1"/>
      <c r="C39" s="1"/>
      <c r="D39" s="2"/>
      <c r="E39" s="7">
        <f t="shared" ref="E39:R39" si="11">+((E30)*$D$53)</f>
        <v>20731.8</v>
      </c>
      <c r="F39" s="7">
        <f t="shared" si="11"/>
        <v>20731.8</v>
      </c>
      <c r="G39" s="7">
        <f t="shared" si="11"/>
        <v>21353.1</v>
      </c>
      <c r="H39" s="7">
        <f t="shared" si="11"/>
        <v>21353.1</v>
      </c>
      <c r="I39" s="7">
        <f t="shared" si="11"/>
        <v>19075</v>
      </c>
      <c r="J39" s="7">
        <f>+((J30)*$D$53)</f>
        <v>19075</v>
      </c>
      <c r="K39" s="7">
        <f t="shared" si="11"/>
        <v>19238.5</v>
      </c>
      <c r="L39" s="184">
        <f t="shared" si="11"/>
        <v>21353.1</v>
      </c>
      <c r="M39" s="126">
        <f t="shared" si="11"/>
        <v>21353.1</v>
      </c>
      <c r="N39" s="7">
        <f t="shared" si="11"/>
        <v>21353.1</v>
      </c>
      <c r="O39" s="7">
        <f t="shared" si="11"/>
        <v>21353.1</v>
      </c>
      <c r="P39" s="7">
        <f t="shared" si="11"/>
        <v>21353.1</v>
      </c>
      <c r="Q39" s="7">
        <f t="shared" si="11"/>
        <v>21353.1</v>
      </c>
      <c r="R39" s="7">
        <f t="shared" si="11"/>
        <v>21353.1</v>
      </c>
      <c r="T39" s="208">
        <f>'2016 Renewal'!E42</f>
        <v>29623.350000000009</v>
      </c>
      <c r="U39" s="7">
        <f>'2016 Renewal'!F42</f>
        <v>29623.350000000009</v>
      </c>
      <c r="V39" s="7" t="e">
        <f>'2016 Renewal'!#REF!</f>
        <v>#REF!</v>
      </c>
      <c r="W39" s="334">
        <f>(W30*$D53)+(W31*(E55+E57)+(W32*E54)+(W38*E57))</f>
        <v>11205.199999999999</v>
      </c>
      <c r="X39" s="150">
        <f>(X30*$D53)+(X32*(D54+D56))+(X31*D57)+(X38*D57)</f>
        <v>18359.210000000003</v>
      </c>
      <c r="Y39" s="184">
        <f>(Y30*$D53)+(Y31*(D55+D57)+(Y32*D54)+(Y38*D57))</f>
        <v>13015.289999999999</v>
      </c>
      <c r="Z39" s="317">
        <f>(Z30*$D53)+(Z31*(E55+E57)+(Z32*E54)+(Z38*E57))</f>
        <v>12022.699999999999</v>
      </c>
      <c r="AA39" s="317">
        <f>(AA30*$D53)+(AA31*(D55+D57)+(AA32*D54)+(AA38*D57))</f>
        <v>13015.289999999999</v>
      </c>
      <c r="AB39" s="150">
        <f>(AB30*$D53)+(16.87*197)+(12.89*351)+(AB38)+(5.75*144)</f>
        <v>19952.259999999998</v>
      </c>
      <c r="AC39" s="150">
        <f>(AC30*$D53)+(16.87*197)+(12.89*351)+(AC38)+(5.75*144)</f>
        <v>19952.259999999998</v>
      </c>
      <c r="AD39" s="150">
        <f>(AD30*$D53)+(16.87*197)+(12.89*351)+(AD38)+(5.75*144)</f>
        <v>19952.259999999998</v>
      </c>
      <c r="AE39" s="150">
        <f>(AE30*$D53)+(16.87*197)+(12.89*351)+(AE38)+(5.75*144)</f>
        <v>19952.259999999998</v>
      </c>
    </row>
    <row r="40" spans="1:31" ht="13.5" thickBot="1" x14ac:dyDescent="0.25">
      <c r="A40" s="151" t="s">
        <v>6</v>
      </c>
      <c r="B40" s="8"/>
      <c r="C40" s="8"/>
      <c r="D40" s="9"/>
      <c r="E40" s="10">
        <f t="shared" ref="E40:R40" si="12">+E39*12</f>
        <v>248781.59999999998</v>
      </c>
      <c r="F40" s="10">
        <f t="shared" si="12"/>
        <v>248781.59999999998</v>
      </c>
      <c r="G40" s="10">
        <f t="shared" si="12"/>
        <v>256237.19999999998</v>
      </c>
      <c r="H40" s="10">
        <f t="shared" si="12"/>
        <v>256237.19999999998</v>
      </c>
      <c r="I40" s="10">
        <f t="shared" si="12"/>
        <v>228900</v>
      </c>
      <c r="J40" s="10">
        <f>+J39*12</f>
        <v>228900</v>
      </c>
      <c r="K40" s="10">
        <f t="shared" si="12"/>
        <v>230862</v>
      </c>
      <c r="L40" s="184">
        <f t="shared" si="12"/>
        <v>256237.19999999998</v>
      </c>
      <c r="M40" s="126">
        <f t="shared" si="12"/>
        <v>256237.19999999998</v>
      </c>
      <c r="N40" s="7">
        <f t="shared" si="12"/>
        <v>256237.19999999998</v>
      </c>
      <c r="O40" s="7">
        <f t="shared" si="12"/>
        <v>256237.19999999998</v>
      </c>
      <c r="P40" s="7">
        <f t="shared" si="12"/>
        <v>256237.19999999998</v>
      </c>
      <c r="Q40" s="7">
        <f t="shared" si="12"/>
        <v>256237.19999999998</v>
      </c>
      <c r="R40" s="7">
        <f t="shared" si="12"/>
        <v>256237.19999999998</v>
      </c>
      <c r="T40" s="300">
        <f>+T39*12</f>
        <v>355480.20000000013</v>
      </c>
      <c r="U40" s="10">
        <f>+U39*12</f>
        <v>355480.20000000013</v>
      </c>
      <c r="V40" s="10" t="e">
        <f>+V39*12</f>
        <v>#REF!</v>
      </c>
      <c r="W40" s="335">
        <f t="shared" ref="W40:AE40" si="13">+W39*12</f>
        <v>134462.39999999999</v>
      </c>
      <c r="X40" s="152">
        <f>+X39*12</f>
        <v>220310.52000000002</v>
      </c>
      <c r="Y40" s="185">
        <f>+Y39*12</f>
        <v>156183.47999999998</v>
      </c>
      <c r="Z40" s="152">
        <f t="shared" si="13"/>
        <v>144272.4</v>
      </c>
      <c r="AA40" s="152">
        <f t="shared" si="13"/>
        <v>156183.47999999998</v>
      </c>
      <c r="AB40" s="152">
        <f t="shared" si="13"/>
        <v>239427.12</v>
      </c>
      <c r="AC40" s="152">
        <f t="shared" si="13"/>
        <v>239427.12</v>
      </c>
      <c r="AD40" s="152">
        <f t="shared" si="13"/>
        <v>239427.12</v>
      </c>
      <c r="AE40" s="152">
        <f t="shared" si="13"/>
        <v>239427.12</v>
      </c>
    </row>
    <row r="41" spans="1:31" ht="13.5" thickTop="1" x14ac:dyDescent="0.2">
      <c r="A41" s="147" t="s">
        <v>13</v>
      </c>
      <c r="B41" s="1"/>
      <c r="C41" s="1"/>
      <c r="D41" s="2"/>
      <c r="E41" s="7" t="e">
        <f t="shared" ref="E41:R41" si="14">+E16+E19+E39</f>
        <v>#VALUE!</v>
      </c>
      <c r="F41" s="7" t="e">
        <f t="shared" si="14"/>
        <v>#VALUE!</v>
      </c>
      <c r="G41" s="7" t="e">
        <f t="shared" si="14"/>
        <v>#VALUE!</v>
      </c>
      <c r="H41" s="7">
        <f t="shared" si="14"/>
        <v>74648.649999999994</v>
      </c>
      <c r="I41" s="7">
        <f t="shared" si="14"/>
        <v>70833.649999999994</v>
      </c>
      <c r="J41" s="7">
        <f>+J16+J19+J39</f>
        <v>70948.100000000006</v>
      </c>
      <c r="K41" s="7">
        <f t="shared" si="14"/>
        <v>65481.750000000007</v>
      </c>
      <c r="L41" s="184">
        <f t="shared" si="14"/>
        <v>74127.45</v>
      </c>
      <c r="M41" s="126">
        <f t="shared" si="14"/>
        <v>63364.7</v>
      </c>
      <c r="N41" s="7">
        <f t="shared" si="14"/>
        <v>78593</v>
      </c>
      <c r="O41" s="7">
        <f t="shared" si="14"/>
        <v>63720.95</v>
      </c>
      <c r="P41" s="7">
        <f t="shared" si="14"/>
        <v>65782.05</v>
      </c>
      <c r="Q41" s="7">
        <f t="shared" si="14"/>
        <v>74132.45</v>
      </c>
      <c r="R41" s="7">
        <f t="shared" si="14"/>
        <v>74133.45</v>
      </c>
      <c r="T41" s="208">
        <f t="shared" ref="T41:AE41" si="15">+T16+T19+T39</f>
        <v>78389.950000000012</v>
      </c>
      <c r="U41" s="7">
        <f t="shared" si="15"/>
        <v>89279.050000000017</v>
      </c>
      <c r="V41" s="7" t="e">
        <f>+V16+V19+V39</f>
        <v>#REF!</v>
      </c>
      <c r="W41" s="334">
        <f t="shared" si="15"/>
        <v>64495.299999999996</v>
      </c>
      <c r="X41" s="150">
        <f>+X16+X19+X39</f>
        <v>68717.210000000006</v>
      </c>
      <c r="Y41" s="184">
        <f t="shared" si="15"/>
        <v>64463.29</v>
      </c>
      <c r="Z41" s="150">
        <f t="shared" si="15"/>
        <v>61034.55</v>
      </c>
      <c r="AA41" s="150">
        <f t="shared" si="15"/>
        <v>62375.939999999995</v>
      </c>
      <c r="AB41" s="150">
        <f t="shared" si="15"/>
        <v>65541.509999999995</v>
      </c>
      <c r="AC41" s="150">
        <f t="shared" si="15"/>
        <v>63552.259999999995</v>
      </c>
      <c r="AD41" s="150">
        <f t="shared" si="15"/>
        <v>60096.959999999992</v>
      </c>
      <c r="AE41" s="150">
        <f t="shared" si="15"/>
        <v>61105.210000000006</v>
      </c>
    </row>
    <row r="42" spans="1:31" ht="13.5" thickBot="1" x14ac:dyDescent="0.25">
      <c r="A42" s="161" t="s">
        <v>14</v>
      </c>
      <c r="B42" s="8"/>
      <c r="C42" s="8"/>
      <c r="D42" s="9"/>
      <c r="E42" s="10" t="e">
        <f t="shared" ref="E42:R42" si="16">+E41*12</f>
        <v>#VALUE!</v>
      </c>
      <c r="F42" s="10" t="e">
        <f t="shared" si="16"/>
        <v>#VALUE!</v>
      </c>
      <c r="G42" s="10" t="e">
        <f t="shared" si="16"/>
        <v>#VALUE!</v>
      </c>
      <c r="H42" s="10">
        <f t="shared" si="16"/>
        <v>895783.79999999993</v>
      </c>
      <c r="I42" s="10">
        <f t="shared" si="16"/>
        <v>850003.79999999993</v>
      </c>
      <c r="J42" s="10">
        <f>+J41*12</f>
        <v>851377.20000000007</v>
      </c>
      <c r="K42" s="10">
        <f t="shared" si="16"/>
        <v>785781.00000000012</v>
      </c>
      <c r="L42" s="185">
        <f t="shared" si="16"/>
        <v>889529.39999999991</v>
      </c>
      <c r="M42" s="127">
        <f t="shared" si="16"/>
        <v>760376.39999999991</v>
      </c>
      <c r="N42" s="10">
        <f t="shared" si="16"/>
        <v>943116</v>
      </c>
      <c r="O42" s="10">
        <f t="shared" si="16"/>
        <v>764651.39999999991</v>
      </c>
      <c r="P42" s="10">
        <f t="shared" si="16"/>
        <v>789384.60000000009</v>
      </c>
      <c r="Q42" s="10">
        <f t="shared" si="16"/>
        <v>889589.39999999991</v>
      </c>
      <c r="R42" s="10">
        <f t="shared" si="16"/>
        <v>889601.39999999991</v>
      </c>
      <c r="T42" s="300">
        <f t="shared" ref="T42:AE42" si="17">+T41*12</f>
        <v>940679.40000000014</v>
      </c>
      <c r="U42" s="10">
        <f t="shared" si="17"/>
        <v>1071348.6000000001</v>
      </c>
      <c r="V42" s="10" t="e">
        <f t="shared" si="17"/>
        <v>#REF!</v>
      </c>
      <c r="W42" s="335">
        <f t="shared" si="17"/>
        <v>773943.6</v>
      </c>
      <c r="X42" s="152">
        <f t="shared" si="17"/>
        <v>824606.52</v>
      </c>
      <c r="Y42" s="185">
        <f t="shared" si="17"/>
        <v>773559.48</v>
      </c>
      <c r="Z42" s="152">
        <f t="shared" si="17"/>
        <v>732414.60000000009</v>
      </c>
      <c r="AA42" s="152">
        <f t="shared" si="17"/>
        <v>748511.27999999991</v>
      </c>
      <c r="AB42" s="152">
        <f t="shared" si="17"/>
        <v>786498.11999999988</v>
      </c>
      <c r="AC42" s="152">
        <f t="shared" si="17"/>
        <v>762627.11999999988</v>
      </c>
      <c r="AD42" s="152">
        <f t="shared" si="17"/>
        <v>721163.5199999999</v>
      </c>
      <c r="AE42" s="152">
        <f t="shared" si="17"/>
        <v>733262.52</v>
      </c>
    </row>
    <row r="43" spans="1:31" ht="13.5" thickTop="1" x14ac:dyDescent="0.2">
      <c r="A43" s="164" t="s">
        <v>97</v>
      </c>
      <c r="B43" s="18"/>
      <c r="C43" s="18"/>
      <c r="D43" s="19"/>
      <c r="E43" s="20" t="e">
        <f t="shared" ref="E43:R43" si="18">+(E25+E41)</f>
        <v>#VALUE!</v>
      </c>
      <c r="F43" s="20" t="e">
        <f t="shared" si="18"/>
        <v>#VALUE!</v>
      </c>
      <c r="G43" s="20" t="e">
        <f t="shared" si="18"/>
        <v>#VALUE!</v>
      </c>
      <c r="H43" s="20">
        <f t="shared" si="18"/>
        <v>464323.65</v>
      </c>
      <c r="I43" s="20">
        <f t="shared" si="18"/>
        <v>621834.1</v>
      </c>
      <c r="J43" s="20">
        <f>+(J25+J41)</f>
        <v>595390.69999999995</v>
      </c>
      <c r="K43" s="20">
        <f t="shared" si="18"/>
        <v>554357.65</v>
      </c>
      <c r="L43" s="190">
        <f t="shared" si="18"/>
        <v>462739.7</v>
      </c>
      <c r="M43" s="133">
        <f t="shared" si="18"/>
        <v>456478.64999999997</v>
      </c>
      <c r="N43" s="20">
        <f t="shared" si="18"/>
        <v>446326.3</v>
      </c>
      <c r="O43" s="20">
        <f t="shared" si="18"/>
        <v>434397.25</v>
      </c>
      <c r="P43" s="20">
        <f t="shared" si="18"/>
        <v>578779.65</v>
      </c>
      <c r="Q43" s="20">
        <f t="shared" si="18"/>
        <v>462744.7</v>
      </c>
      <c r="R43" s="20">
        <f t="shared" si="18"/>
        <v>491221.95</v>
      </c>
      <c r="T43" s="305">
        <f t="shared" ref="T43:AE43" si="19">+(T25+T41)</f>
        <v>946496.64999999991</v>
      </c>
      <c r="U43" s="20">
        <f t="shared" si="19"/>
        <v>1061372.2</v>
      </c>
      <c r="V43" s="20" t="e">
        <f t="shared" si="19"/>
        <v>#REF!</v>
      </c>
      <c r="W43" s="170">
        <f t="shared" si="19"/>
        <v>708750.7</v>
      </c>
      <c r="X43" s="162">
        <f>+(X25+X41)</f>
        <v>609045.36</v>
      </c>
      <c r="Y43" s="190">
        <f t="shared" si="19"/>
        <v>711803.39</v>
      </c>
      <c r="Z43" s="162">
        <f t="shared" si="19"/>
        <v>734158.6</v>
      </c>
      <c r="AA43" s="162">
        <f t="shared" si="19"/>
        <v>709999.44</v>
      </c>
      <c r="AB43" s="162">
        <f t="shared" si="19"/>
        <v>724533.71000000008</v>
      </c>
      <c r="AC43" s="162">
        <f t="shared" si="19"/>
        <v>746268.31</v>
      </c>
      <c r="AD43" s="162">
        <f t="shared" si="19"/>
        <v>739172.40999999992</v>
      </c>
      <c r="AE43" s="162">
        <f t="shared" si="19"/>
        <v>716108.00999999989</v>
      </c>
    </row>
    <row r="44" spans="1:31" ht="13.5" thickBot="1" x14ac:dyDescent="0.25">
      <c r="A44" s="194" t="s">
        <v>98</v>
      </c>
      <c r="B44" s="21"/>
      <c r="C44" s="21"/>
      <c r="D44" s="22"/>
      <c r="E44" s="23" t="e">
        <f t="shared" ref="E44:R44" si="20">+E43*12</f>
        <v>#VALUE!</v>
      </c>
      <c r="F44" s="23" t="e">
        <f t="shared" si="20"/>
        <v>#VALUE!</v>
      </c>
      <c r="G44" s="23" t="e">
        <f t="shared" si="20"/>
        <v>#VALUE!</v>
      </c>
      <c r="H44" s="23">
        <f t="shared" si="20"/>
        <v>5571883.8000000007</v>
      </c>
      <c r="I44" s="23">
        <f t="shared" si="20"/>
        <v>7462009.1999999993</v>
      </c>
      <c r="J44" s="23">
        <f>+J43*12</f>
        <v>7144688.3999999994</v>
      </c>
      <c r="K44" s="23">
        <f t="shared" si="20"/>
        <v>6652291.8000000007</v>
      </c>
      <c r="L44" s="191">
        <f t="shared" si="20"/>
        <v>5552876.4000000004</v>
      </c>
      <c r="M44" s="134">
        <f t="shared" si="20"/>
        <v>5477743.7999999998</v>
      </c>
      <c r="N44" s="23">
        <f t="shared" si="20"/>
        <v>5355915.5999999996</v>
      </c>
      <c r="O44" s="23">
        <f t="shared" si="20"/>
        <v>5212767</v>
      </c>
      <c r="P44" s="23">
        <f t="shared" si="20"/>
        <v>6945355.8000000007</v>
      </c>
      <c r="Q44" s="23">
        <f t="shared" si="20"/>
        <v>5552936.4000000004</v>
      </c>
      <c r="R44" s="23">
        <f t="shared" si="20"/>
        <v>5894663.4000000004</v>
      </c>
      <c r="T44" s="195">
        <f t="shared" ref="T44:AE44" si="21">+T43*12</f>
        <v>11357959.799999999</v>
      </c>
      <c r="U44" s="23">
        <f t="shared" si="21"/>
        <v>12736466.399999999</v>
      </c>
      <c r="V44" s="23" t="e">
        <f t="shared" si="21"/>
        <v>#REF!</v>
      </c>
      <c r="W44" s="196">
        <f t="shared" si="21"/>
        <v>8505008.3999999985</v>
      </c>
      <c r="X44" s="163">
        <f t="shared" si="21"/>
        <v>7308544.3200000003</v>
      </c>
      <c r="Y44" s="191">
        <f t="shared" si="21"/>
        <v>8541640.6799999997</v>
      </c>
      <c r="Z44" s="163">
        <f t="shared" si="21"/>
        <v>8809903.1999999993</v>
      </c>
      <c r="AA44" s="163">
        <f t="shared" si="21"/>
        <v>8519993.2799999993</v>
      </c>
      <c r="AB44" s="163">
        <f t="shared" si="21"/>
        <v>8694404.5200000014</v>
      </c>
      <c r="AC44" s="163">
        <f t="shared" si="21"/>
        <v>8955219.7200000007</v>
      </c>
      <c r="AD44" s="163">
        <f t="shared" si="21"/>
        <v>8870068.9199999981</v>
      </c>
      <c r="AE44" s="163">
        <f t="shared" si="21"/>
        <v>8593296.1199999992</v>
      </c>
    </row>
    <row r="45" spans="1:31" ht="14.25" thickTop="1" thickBot="1" x14ac:dyDescent="0.25">
      <c r="A45" s="235" t="s">
        <v>150</v>
      </c>
      <c r="B45" s="231"/>
      <c r="C45" s="231"/>
      <c r="D45" s="232"/>
      <c r="E45" s="233">
        <v>400000</v>
      </c>
      <c r="F45" s="233">
        <v>400000</v>
      </c>
      <c r="G45" s="234" t="s">
        <v>41</v>
      </c>
      <c r="H45" s="234" t="s">
        <v>41</v>
      </c>
      <c r="I45" s="234" t="s">
        <v>41</v>
      </c>
      <c r="J45" s="234" t="s">
        <v>41</v>
      </c>
      <c r="K45" s="233">
        <v>0</v>
      </c>
      <c r="L45" s="233">
        <v>400000</v>
      </c>
      <c r="M45" s="233">
        <v>400000</v>
      </c>
      <c r="N45" s="233">
        <v>400000</v>
      </c>
      <c r="O45" s="233">
        <v>400000</v>
      </c>
      <c r="P45" s="233">
        <v>400000</v>
      </c>
      <c r="Q45" s="233">
        <v>400000</v>
      </c>
      <c r="R45" s="233">
        <v>400000</v>
      </c>
      <c r="S45" s="233">
        <v>400000</v>
      </c>
      <c r="T45" s="346">
        <v>0</v>
      </c>
      <c r="U45" s="347">
        <f>1220*65</f>
        <v>79300</v>
      </c>
      <c r="V45" s="347">
        <f>U45</f>
        <v>79300</v>
      </c>
      <c r="W45" s="348">
        <v>76923</v>
      </c>
      <c r="X45" s="349">
        <f>V45</f>
        <v>79300</v>
      </c>
      <c r="Y45" s="313">
        <v>70119</v>
      </c>
      <c r="Z45" s="285">
        <v>70119</v>
      </c>
      <c r="AA45" s="285">
        <v>70119</v>
      </c>
      <c r="AB45" s="285">
        <v>70119</v>
      </c>
      <c r="AC45" s="285">
        <v>70119</v>
      </c>
      <c r="AD45" s="285">
        <v>70119</v>
      </c>
      <c r="AE45" s="285">
        <v>70119</v>
      </c>
    </row>
    <row r="46" spans="1:31" ht="13.5" thickBot="1" x14ac:dyDescent="0.25">
      <c r="A46" s="194" t="s">
        <v>151</v>
      </c>
      <c r="B46" s="218"/>
      <c r="C46" s="196"/>
      <c r="D46" s="196"/>
      <c r="E46" s="217" t="e">
        <f>+(E26+E42+E45)</f>
        <v>#VALUE!</v>
      </c>
      <c r="F46" s="81" t="e">
        <f>+(F26+F42+F45)</f>
        <v>#VALUE!</v>
      </c>
      <c r="G46" s="81" t="e">
        <f>+(G26+G42)</f>
        <v>#VALUE!</v>
      </c>
      <c r="H46" s="206">
        <f>+(H26+H42)</f>
        <v>5571883.7999999998</v>
      </c>
      <c r="I46" s="81">
        <f>+(I26+I42)</f>
        <v>7462009.1999999993</v>
      </c>
      <c r="J46" s="81">
        <f>+(J26+J42)</f>
        <v>7144688.3999999994</v>
      </c>
      <c r="K46" s="81">
        <f>+(K26+K42+K45)</f>
        <v>6652291.7999999998</v>
      </c>
      <c r="L46" s="192">
        <f t="shared" ref="L46:R46" si="22">+(L29+L43)</f>
        <v>462739.7</v>
      </c>
      <c r="M46" s="135">
        <f t="shared" si="22"/>
        <v>456478.64999999997</v>
      </c>
      <c r="N46" s="81">
        <f t="shared" si="22"/>
        <v>446326.3</v>
      </c>
      <c r="O46" s="81">
        <f t="shared" si="22"/>
        <v>434397.25</v>
      </c>
      <c r="P46" s="81">
        <f t="shared" si="22"/>
        <v>578779.65</v>
      </c>
      <c r="Q46" s="81">
        <f t="shared" si="22"/>
        <v>462744.7</v>
      </c>
      <c r="R46" s="81">
        <f t="shared" si="22"/>
        <v>491221.95</v>
      </c>
      <c r="T46" s="306">
        <f>+(T26+T42+T45)</f>
        <v>11357959.799999999</v>
      </c>
      <c r="U46" s="23">
        <f t="shared" ref="U46:AE46" si="23">+(U26+U42+U45)</f>
        <v>12815766.4</v>
      </c>
      <c r="V46" s="23" t="e">
        <f t="shared" si="23"/>
        <v>#REF!</v>
      </c>
      <c r="W46" s="196">
        <f t="shared" si="23"/>
        <v>8581931.3999999985</v>
      </c>
      <c r="X46" s="163">
        <f>+(X26+X42+X45)</f>
        <v>7387844.3200000003</v>
      </c>
      <c r="Y46" s="191">
        <f t="shared" si="23"/>
        <v>8611759.6799999997</v>
      </c>
      <c r="Z46" s="163">
        <f t="shared" si="23"/>
        <v>8880022.1999999993</v>
      </c>
      <c r="AA46" s="163">
        <f t="shared" si="23"/>
        <v>8590112.2799999993</v>
      </c>
      <c r="AB46" s="163">
        <f t="shared" si="23"/>
        <v>8764523.5199999996</v>
      </c>
      <c r="AC46" s="163">
        <f t="shared" si="23"/>
        <v>9025338.7200000007</v>
      </c>
      <c r="AD46" s="163">
        <f t="shared" si="23"/>
        <v>8940187.9199999999</v>
      </c>
      <c r="AE46" s="163">
        <f t="shared" si="23"/>
        <v>8663415.1199999992</v>
      </c>
    </row>
    <row r="47" spans="1:31" ht="14.25" thickTop="1" thickBot="1" x14ac:dyDescent="0.25">
      <c r="A47" s="194" t="s">
        <v>102</v>
      </c>
      <c r="B47" s="218"/>
      <c r="C47" s="196"/>
      <c r="D47" s="196"/>
      <c r="E47" s="217" t="s">
        <v>34</v>
      </c>
      <c r="F47" s="81" t="e">
        <f>(#REF!-F46)/-#REF!</f>
        <v>#REF!</v>
      </c>
      <c r="G47" s="81" t="e">
        <f>($E$46-G46)/-$E$46</f>
        <v>#VALUE!</v>
      </c>
      <c r="H47" s="206" t="s">
        <v>34</v>
      </c>
      <c r="I47" s="81">
        <f>($H$46-I46)/-$H$46</f>
        <v>0.33922555958543132</v>
      </c>
      <c r="J47" s="81">
        <f>($H$46-J46)/-$H$46</f>
        <v>0.2822751974834794</v>
      </c>
      <c r="K47" s="81">
        <f>($H$46-K46)/-$H$46</f>
        <v>0.19390354120450251</v>
      </c>
      <c r="L47" s="192">
        <f t="shared" ref="L47:R47" si="24">(L43-L46)/L43</f>
        <v>0</v>
      </c>
      <c r="M47" s="135">
        <f t="shared" si="24"/>
        <v>0</v>
      </c>
      <c r="N47" s="81">
        <f t="shared" si="24"/>
        <v>0</v>
      </c>
      <c r="O47" s="81">
        <f t="shared" si="24"/>
        <v>0</v>
      </c>
      <c r="P47" s="81">
        <f t="shared" si="24"/>
        <v>0</v>
      </c>
      <c r="Q47" s="81">
        <f t="shared" si="24"/>
        <v>0</v>
      </c>
      <c r="R47" s="81">
        <f t="shared" si="24"/>
        <v>0</v>
      </c>
      <c r="T47" s="307" t="s">
        <v>34</v>
      </c>
      <c r="U47" s="81">
        <f t="shared" ref="U47:AE47" si="25">($T$46-U46)/-$T$46</f>
        <v>0.12835109699895236</v>
      </c>
      <c r="V47" s="81" t="e">
        <f>($T$46-V46)/-$T$46</f>
        <v>#REF!</v>
      </c>
      <c r="W47" s="341">
        <f t="shared" si="25"/>
        <v>-0.24441259247985722</v>
      </c>
      <c r="X47" s="210">
        <f>($T$46-X46)/-$T$46</f>
        <v>-0.34954477299699538</v>
      </c>
      <c r="Y47" s="314">
        <f t="shared" si="25"/>
        <v>-0.2417863919539493</v>
      </c>
      <c r="Z47" s="210">
        <f t="shared" si="25"/>
        <v>-0.21816749166518443</v>
      </c>
      <c r="AA47" s="210">
        <f t="shared" si="25"/>
        <v>-0.24369231523429055</v>
      </c>
      <c r="AB47" s="210">
        <f t="shared" si="25"/>
        <v>-0.22833645528486549</v>
      </c>
      <c r="AC47" s="210">
        <f t="shared" si="25"/>
        <v>-0.20537324669875998</v>
      </c>
      <c r="AD47" s="210">
        <f t="shared" si="25"/>
        <v>-0.21287026213986066</v>
      </c>
      <c r="AE47" s="210">
        <f t="shared" si="25"/>
        <v>-0.23723844136162553</v>
      </c>
    </row>
    <row r="48" spans="1:31" ht="14.25" thickTop="1" thickBot="1" x14ac:dyDescent="0.25">
      <c r="A48" s="165" t="s">
        <v>119</v>
      </c>
      <c r="B48" s="166"/>
      <c r="C48" s="219"/>
      <c r="D48" s="221"/>
      <c r="E48" s="220" t="s">
        <v>34</v>
      </c>
      <c r="F48" s="168" t="e">
        <f>(#REF!-F49)/-F49</f>
        <v>#REF!</v>
      </c>
      <c r="G48" s="167" t="e">
        <f>G46-E46</f>
        <v>#VALUE!</v>
      </c>
      <c r="H48" s="207" t="s">
        <v>34</v>
      </c>
      <c r="I48" s="167">
        <f>I46-H46</f>
        <v>1890125.3999999994</v>
      </c>
      <c r="J48" s="167">
        <f>J46-H46</f>
        <v>1572804.5999999996</v>
      </c>
      <c r="K48" s="167">
        <f>K46-H46</f>
        <v>1080408</v>
      </c>
      <c r="L48" s="167">
        <f>L46-I46</f>
        <v>-6999269.4999999991</v>
      </c>
      <c r="M48" s="167">
        <f t="shared" ref="M48:S48" si="26">M46-K46</f>
        <v>-6195813.1499999994</v>
      </c>
      <c r="N48" s="167">
        <f t="shared" si="26"/>
        <v>-16413.400000000023</v>
      </c>
      <c r="O48" s="167">
        <f t="shared" si="26"/>
        <v>-22081.399999999965</v>
      </c>
      <c r="P48" s="167">
        <f t="shared" si="26"/>
        <v>132453.35000000003</v>
      </c>
      <c r="Q48" s="167">
        <f t="shared" si="26"/>
        <v>28347.450000000012</v>
      </c>
      <c r="R48" s="167">
        <f t="shared" si="26"/>
        <v>-87557.700000000012</v>
      </c>
      <c r="S48" s="167">
        <f t="shared" si="26"/>
        <v>-462744.7</v>
      </c>
      <c r="T48" s="308" t="s">
        <v>34</v>
      </c>
      <c r="U48" s="167">
        <f>U46-T46</f>
        <v>1457806.6000000015</v>
      </c>
      <c r="V48" s="167" t="e">
        <f>V46-T46</f>
        <v>#REF!</v>
      </c>
      <c r="W48" s="221">
        <f>W46-S46</f>
        <v>8581931.3999999985</v>
      </c>
      <c r="X48" s="211">
        <f>X46-T46</f>
        <v>-3970115.4799999986</v>
      </c>
      <c r="Y48" s="315">
        <f>Y46-S46</f>
        <v>8611759.6799999997</v>
      </c>
      <c r="Z48" s="211">
        <f>Z46-S46</f>
        <v>8880022.1999999993</v>
      </c>
      <c r="AA48" s="211">
        <f>AA46-S46</f>
        <v>8590112.2799999993</v>
      </c>
      <c r="AB48" s="211">
        <f>AB46-S46</f>
        <v>8764523.5199999996</v>
      </c>
      <c r="AC48" s="211">
        <f>AC46-S46</f>
        <v>9025338.7200000007</v>
      </c>
      <c r="AD48" s="211">
        <f>AD46-S46</f>
        <v>8940187.9199999999</v>
      </c>
      <c r="AE48" s="211">
        <f>AE46-T46</f>
        <v>-2694544.6799999997</v>
      </c>
    </row>
    <row r="49" spans="1:34" ht="13.5" thickBot="1" x14ac:dyDescent="0.25">
      <c r="A49" s="194" t="s">
        <v>152</v>
      </c>
      <c r="B49" s="218"/>
      <c r="C49" s="196"/>
      <c r="D49" s="134"/>
      <c r="E49" s="23" t="e">
        <f>E27+E42+E45</f>
        <v>#VALUE!</v>
      </c>
      <c r="F49" s="23" t="e">
        <f>F27+F42+F45</f>
        <v>#VALUE!</v>
      </c>
      <c r="G49" s="23" t="e">
        <f>G27+G42</f>
        <v>#VALUE!</v>
      </c>
      <c r="H49" s="23">
        <f>H27+H42</f>
        <v>4636663.8</v>
      </c>
      <c r="I49" s="23">
        <f>I27+I42</f>
        <v>6139608.1199999992</v>
      </c>
      <c r="J49" s="23">
        <f>J27+J42</f>
        <v>5886026.1599999992</v>
      </c>
      <c r="K49" s="23">
        <f>K27+K42</f>
        <v>5478989.6399999997</v>
      </c>
      <c r="L49" s="190">
        <v>5298170</v>
      </c>
      <c r="M49" s="133">
        <v>5298170</v>
      </c>
      <c r="N49" s="20">
        <v>5298170</v>
      </c>
      <c r="O49" s="20">
        <v>5298170</v>
      </c>
      <c r="P49" s="20">
        <v>5298170</v>
      </c>
      <c r="Q49" s="20">
        <v>5298170</v>
      </c>
      <c r="R49" s="20">
        <v>5298170</v>
      </c>
      <c r="T49" s="306">
        <f>T27+T42</f>
        <v>9274503.7199999988</v>
      </c>
      <c r="U49" s="23">
        <f t="shared" ref="U49:AE49" si="27">U27+U42+U45</f>
        <v>10482742.84</v>
      </c>
      <c r="V49" s="23" t="e">
        <f>V27+V42+V45</f>
        <v>#REF!</v>
      </c>
      <c r="W49" s="196">
        <f t="shared" si="27"/>
        <v>7035718.4399999985</v>
      </c>
      <c r="X49" s="163">
        <f>X27+X42+X45</f>
        <v>6091056.7599999998</v>
      </c>
      <c r="Y49" s="191">
        <f t="shared" si="27"/>
        <v>7058143.4399999995</v>
      </c>
      <c r="Z49" s="163">
        <f t="shared" si="27"/>
        <v>7264524.4800000004</v>
      </c>
      <c r="AA49" s="163">
        <f t="shared" si="27"/>
        <v>7035815.8799999999</v>
      </c>
      <c r="AB49" s="163">
        <f t="shared" si="27"/>
        <v>7182942.2400000002</v>
      </c>
      <c r="AC49" s="163">
        <f t="shared" si="27"/>
        <v>7386820.2000000002</v>
      </c>
      <c r="AD49" s="163">
        <f t="shared" si="27"/>
        <v>7310406.8399999989</v>
      </c>
      <c r="AE49" s="163">
        <f t="shared" si="27"/>
        <v>7091408.4000000004</v>
      </c>
      <c r="AH49" s="78" t="s">
        <v>116</v>
      </c>
    </row>
    <row r="50" spans="1:34" ht="14.25" thickTop="1" thickBot="1" x14ac:dyDescent="0.25">
      <c r="A50" s="194" t="s">
        <v>100</v>
      </c>
      <c r="B50" s="22"/>
      <c r="C50" s="195"/>
      <c r="D50" s="196"/>
      <c r="E50" s="217" t="s">
        <v>34</v>
      </c>
      <c r="F50" s="81" t="e">
        <f>(#REF!-F49)/-#REF!</f>
        <v>#REF!</v>
      </c>
      <c r="G50" s="81" t="e">
        <f>($E$49-G49)/-$E$49</f>
        <v>#VALUE!</v>
      </c>
      <c r="H50" s="206" t="s">
        <v>34</v>
      </c>
      <c r="I50" s="81">
        <f>($H$49-I49)/-$H$49</f>
        <v>0.32414347574650537</v>
      </c>
      <c r="J50" s="81">
        <f>($H$49-J49)/-$H$49</f>
        <v>0.26945286824548276</v>
      </c>
      <c r="K50" s="81">
        <f>($H$49-K49)/-$H$49</f>
        <v>0.18166636105900105</v>
      </c>
      <c r="L50" s="171"/>
      <c r="M50" s="171"/>
      <c r="N50" s="171"/>
      <c r="O50" s="171"/>
      <c r="P50" s="171"/>
      <c r="Q50" s="171"/>
      <c r="R50" s="171"/>
      <c r="T50" s="307" t="s">
        <v>34</v>
      </c>
      <c r="U50" s="81">
        <f t="shared" ref="U50:AE50" si="28">($T$49-U49)/-$T$49</f>
        <v>0.13027533941190778</v>
      </c>
      <c r="V50" s="81" t="e">
        <f>($T$49-V49)/-$T$49</f>
        <v>#REF!</v>
      </c>
      <c r="W50" s="341">
        <f t="shared" si="28"/>
        <v>-0.24139138304211069</v>
      </c>
      <c r="X50" s="210">
        <f>($T$49-X49)/-$T$49</f>
        <v>-0.34324714896982106</v>
      </c>
      <c r="Y50" s="314">
        <f>($T$49-Y49)/-$T$49</f>
        <v>-0.23897346390842783</v>
      </c>
      <c r="Z50" s="210">
        <f>($T$49-Z49)/-$T$49</f>
        <v>-0.21672094816950471</v>
      </c>
      <c r="AA50" s="210">
        <f>($T$49-AA49)/-$T$49</f>
        <v>-0.24138087681957382</v>
      </c>
      <c r="AB50" s="210">
        <f t="shared" si="28"/>
        <v>-0.22551734768186593</v>
      </c>
      <c r="AC50" s="210">
        <f t="shared" si="28"/>
        <v>-0.20353472023837829</v>
      </c>
      <c r="AD50" s="210">
        <f t="shared" si="28"/>
        <v>-0.21177379828578041</v>
      </c>
      <c r="AE50" s="210">
        <f t="shared" si="28"/>
        <v>-0.23538675339492976</v>
      </c>
    </row>
    <row r="51" spans="1:34" ht="15" customHeight="1" thickTop="1" thickBot="1" x14ac:dyDescent="0.25">
      <c r="A51" s="165" t="s">
        <v>101</v>
      </c>
      <c r="B51" s="166"/>
      <c r="C51" s="219"/>
      <c r="D51" s="221"/>
      <c r="E51" s="220" t="s">
        <v>34</v>
      </c>
      <c r="F51" s="168" t="e">
        <f>(#REF!-F52)/-F52</f>
        <v>#REF!</v>
      </c>
      <c r="G51" s="167" t="e">
        <f>G49-E49</f>
        <v>#VALUE!</v>
      </c>
      <c r="H51" s="207" t="s">
        <v>34</v>
      </c>
      <c r="I51" s="167">
        <f>I49-H49</f>
        <v>1502944.3199999994</v>
      </c>
      <c r="J51" s="167">
        <f>J49-H49</f>
        <v>1249362.3599999994</v>
      </c>
      <c r="K51" s="167">
        <f>K49-H49</f>
        <v>842325.83999999985</v>
      </c>
      <c r="L51" s="212"/>
      <c r="M51" s="212" t="s">
        <v>82</v>
      </c>
      <c r="N51" s="212" t="s">
        <v>82</v>
      </c>
      <c r="O51" s="212" t="s">
        <v>82</v>
      </c>
      <c r="P51" s="212" t="s">
        <v>82</v>
      </c>
      <c r="Q51" s="212" t="s">
        <v>82</v>
      </c>
      <c r="R51" s="212" t="s">
        <v>82</v>
      </c>
      <c r="S51" s="213"/>
      <c r="T51" s="308" t="s">
        <v>34</v>
      </c>
      <c r="U51" s="167">
        <f>U49-T49</f>
        <v>1208239.120000001</v>
      </c>
      <c r="V51" s="167" t="e">
        <f>V49-T49</f>
        <v>#REF!</v>
      </c>
      <c r="W51" s="221">
        <f>W49-T49</f>
        <v>-2238785.2800000003</v>
      </c>
      <c r="X51" s="211">
        <f>X49-T49</f>
        <v>-3183446.959999999</v>
      </c>
      <c r="Y51" s="315">
        <f>Y49-T49</f>
        <v>-2216360.2799999993</v>
      </c>
      <c r="Z51" s="211">
        <f>Z49-T49</f>
        <v>-2009979.2399999984</v>
      </c>
      <c r="AA51" s="211">
        <f>AA49-T49</f>
        <v>-2238687.8399999989</v>
      </c>
      <c r="AB51" s="211">
        <f>AB49-S49</f>
        <v>7182942.2400000002</v>
      </c>
      <c r="AC51" s="211">
        <f>AC49-S49</f>
        <v>7386820.2000000002</v>
      </c>
      <c r="AD51" s="211">
        <f>AD49-S49</f>
        <v>7310406.8399999989</v>
      </c>
      <c r="AE51" s="211">
        <f>AE49-T49</f>
        <v>-2183095.3199999984</v>
      </c>
    </row>
    <row r="52" spans="1:34" x14ac:dyDescent="0.2">
      <c r="A52" s="24"/>
      <c r="B52" s="11"/>
      <c r="D52" s="25" t="s">
        <v>15</v>
      </c>
      <c r="E52" s="201" t="s">
        <v>104</v>
      </c>
      <c r="F52" s="201" t="s">
        <v>105</v>
      </c>
      <c r="H52" s="201"/>
      <c r="I52" s="170"/>
      <c r="J52" s="170"/>
      <c r="K52" s="170"/>
      <c r="L52" s="37"/>
      <c r="M52" s="37"/>
      <c r="N52" s="37"/>
      <c r="O52" s="37"/>
      <c r="P52" s="37"/>
      <c r="T52" s="209"/>
      <c r="U52" s="209"/>
      <c r="V52" s="209"/>
      <c r="W52" s="229"/>
      <c r="X52" s="209"/>
      <c r="Y52" s="229"/>
      <c r="Z52" s="229"/>
      <c r="AA52" s="229"/>
      <c r="AB52" s="229"/>
      <c r="AC52" s="229"/>
      <c r="AD52" s="229"/>
      <c r="AE52" s="229"/>
    </row>
    <row r="53" spans="1:34" x14ac:dyDescent="0.2">
      <c r="A53" s="1" t="s">
        <v>16</v>
      </c>
      <c r="B53" s="1"/>
      <c r="C53" s="1" t="s">
        <v>107</v>
      </c>
      <c r="D53" s="25">
        <f>SUM(D54:D57)</f>
        <v>545</v>
      </c>
      <c r="E53" s="200">
        <v>4566279.0650000004</v>
      </c>
      <c r="F53" s="200">
        <v>4566280.0650000004</v>
      </c>
      <c r="H53" s="200"/>
      <c r="I53" s="215"/>
      <c r="J53" s="215"/>
      <c r="K53" s="223"/>
      <c r="L53" s="25"/>
      <c r="M53" s="25"/>
      <c r="N53" s="25"/>
      <c r="O53" s="25"/>
      <c r="P53" s="25"/>
      <c r="T53" s="85"/>
      <c r="U53" s="287"/>
      <c r="V53" s="287"/>
      <c r="X53" s="287"/>
      <c r="Y53" s="286">
        <f>T40-X40</f>
        <v>135169.68000000011</v>
      </c>
      <c r="AA53">
        <f>Y53/T40</f>
        <v>0.38024531324107519</v>
      </c>
      <c r="AB53" s="286">
        <f>T40-U40</f>
        <v>0</v>
      </c>
      <c r="AC53">
        <v>5879172</v>
      </c>
    </row>
    <row r="54" spans="1:34" x14ac:dyDescent="0.2">
      <c r="A54" s="1"/>
      <c r="B54" s="1"/>
      <c r="C54" s="85" t="s">
        <v>146</v>
      </c>
      <c r="D54" s="25">
        <v>54</v>
      </c>
      <c r="E54" s="200"/>
      <c r="F54" s="200"/>
      <c r="H54" s="200"/>
      <c r="I54" s="37"/>
      <c r="J54" s="37"/>
      <c r="L54" s="25"/>
      <c r="M54" s="25"/>
      <c r="N54" s="25"/>
      <c r="O54" s="25"/>
      <c r="P54" s="25"/>
      <c r="T54" s="85"/>
      <c r="U54" s="287"/>
      <c r="V54" s="287"/>
      <c r="W54" s="85"/>
      <c r="X54" s="287"/>
      <c r="Y54" s="320">
        <f>(T13-X13)/-T13</f>
        <v>3.2632990612427373E-2</v>
      </c>
      <c r="Z54" s="85"/>
      <c r="AA54" s="85"/>
      <c r="AB54" s="85">
        <f>AB53/T40</f>
        <v>0</v>
      </c>
      <c r="AC54" s="85">
        <f>6091057-AC53</f>
        <v>211885</v>
      </c>
      <c r="AD54" s="85">
        <f>15.3-11.3</f>
        <v>4</v>
      </c>
      <c r="AE54" s="85"/>
    </row>
    <row r="55" spans="1:34" hidden="1" x14ac:dyDescent="0.2">
      <c r="C55" s="85"/>
      <c r="D55" s="25"/>
      <c r="E55" s="200"/>
      <c r="F55" s="37"/>
      <c r="G55" s="37"/>
      <c r="H55" s="37"/>
      <c r="I55" s="37"/>
      <c r="J55" s="37"/>
      <c r="L55" s="25"/>
      <c r="M55" s="25"/>
      <c r="N55" s="25"/>
      <c r="O55" s="25"/>
      <c r="P55" s="25"/>
      <c r="T55" s="85"/>
      <c r="U55" s="85"/>
      <c r="V55" s="85"/>
      <c r="W55" s="85"/>
      <c r="X55" s="85"/>
      <c r="Y55" s="85"/>
      <c r="Z55" s="85"/>
      <c r="AA55" s="85"/>
      <c r="AB55" s="85"/>
      <c r="AC55" s="85"/>
      <c r="AD55" s="85"/>
      <c r="AE55" s="85"/>
    </row>
    <row r="56" spans="1:34" x14ac:dyDescent="0.2">
      <c r="C56" s="85" t="s">
        <v>147</v>
      </c>
      <c r="D56" s="25">
        <v>478</v>
      </c>
      <c r="E56" s="200"/>
      <c r="F56" s="37"/>
      <c r="G56" s="37"/>
      <c r="H56" s="37"/>
      <c r="I56" s="37"/>
      <c r="J56" s="37"/>
      <c r="L56" s="25"/>
      <c r="M56" s="25"/>
      <c r="N56" s="25"/>
      <c r="O56" s="25"/>
      <c r="P56" s="25"/>
      <c r="T56" s="85"/>
      <c r="U56" s="85"/>
      <c r="V56" s="85"/>
      <c r="W56" s="85"/>
      <c r="X56" s="287"/>
      <c r="Y56" s="320">
        <f>(T40-X40)/-T40</f>
        <v>-0.38024531324107519</v>
      </c>
      <c r="Z56" s="85"/>
      <c r="AA56" s="85"/>
      <c r="AB56" s="85"/>
      <c r="AC56" s="85"/>
      <c r="AD56" s="85"/>
      <c r="AE56" s="85"/>
    </row>
    <row r="57" spans="1:34" x14ac:dyDescent="0.2">
      <c r="C57" s="85" t="s">
        <v>122</v>
      </c>
      <c r="D57" s="25">
        <v>13</v>
      </c>
      <c r="E57" s="200"/>
      <c r="F57" s="37"/>
      <c r="G57" s="37"/>
      <c r="H57" s="37"/>
      <c r="I57" s="37"/>
      <c r="J57" s="37"/>
      <c r="L57" s="25"/>
      <c r="M57" s="25"/>
      <c r="N57" s="25"/>
      <c r="O57" s="25"/>
      <c r="P57" s="25"/>
      <c r="T57" s="85"/>
      <c r="U57" s="85"/>
      <c r="V57" s="85"/>
      <c r="W57" s="85"/>
      <c r="X57" s="85"/>
      <c r="Y57" s="85">
        <f>11.3-15.2</f>
        <v>-3.8999999999999986</v>
      </c>
      <c r="Z57" s="85"/>
      <c r="AA57" s="85"/>
      <c r="AB57" s="85"/>
      <c r="AC57" s="85"/>
      <c r="AD57" s="85"/>
      <c r="AE57" s="85"/>
    </row>
    <row r="58" spans="1:34" x14ac:dyDescent="0.2">
      <c r="Y58">
        <f>15.2-11.3</f>
        <v>3.8999999999999986</v>
      </c>
    </row>
    <row r="59" spans="1:34" x14ac:dyDescent="0.2">
      <c r="T59">
        <f>31.21+0.34</f>
        <v>31.55</v>
      </c>
      <c r="U59">
        <f t="shared" ref="U59:AE59" si="29">32.14+0.34</f>
        <v>32.480000000000004</v>
      </c>
      <c r="V59">
        <f t="shared" si="29"/>
        <v>32.480000000000004</v>
      </c>
      <c r="W59">
        <f t="shared" si="29"/>
        <v>32.480000000000004</v>
      </c>
      <c r="X59">
        <f t="shared" si="29"/>
        <v>32.480000000000004</v>
      </c>
      <c r="Y59">
        <f t="shared" si="29"/>
        <v>32.480000000000004</v>
      </c>
      <c r="Z59">
        <f t="shared" si="29"/>
        <v>32.480000000000004</v>
      </c>
      <c r="AA59">
        <f t="shared" si="29"/>
        <v>32.480000000000004</v>
      </c>
      <c r="AB59">
        <f t="shared" si="29"/>
        <v>32.480000000000004</v>
      </c>
      <c r="AC59">
        <f t="shared" si="29"/>
        <v>32.480000000000004</v>
      </c>
      <c r="AD59">
        <f t="shared" si="29"/>
        <v>32.480000000000004</v>
      </c>
      <c r="AE59">
        <f t="shared" si="29"/>
        <v>32.480000000000004</v>
      </c>
    </row>
    <row r="60" spans="1:34" x14ac:dyDescent="0.2">
      <c r="T60">
        <f>34.96+0.34</f>
        <v>35.300000000000004</v>
      </c>
      <c r="U60">
        <f t="shared" ref="U60:AE60" si="30">36.01+0.34</f>
        <v>36.35</v>
      </c>
      <c r="V60">
        <f t="shared" si="30"/>
        <v>36.35</v>
      </c>
      <c r="W60">
        <f t="shared" si="30"/>
        <v>36.35</v>
      </c>
      <c r="X60">
        <f t="shared" si="30"/>
        <v>36.35</v>
      </c>
      <c r="Y60">
        <f t="shared" si="30"/>
        <v>36.35</v>
      </c>
      <c r="Z60">
        <f t="shared" si="30"/>
        <v>36.35</v>
      </c>
      <c r="AA60">
        <f t="shared" si="30"/>
        <v>36.35</v>
      </c>
      <c r="AB60">
        <f t="shared" si="30"/>
        <v>36.35</v>
      </c>
      <c r="AC60">
        <f t="shared" si="30"/>
        <v>36.35</v>
      </c>
      <c r="AD60">
        <f t="shared" si="30"/>
        <v>36.35</v>
      </c>
      <c r="AE60">
        <f t="shared" si="30"/>
        <v>36.35</v>
      </c>
    </row>
    <row r="62" spans="1:34" x14ac:dyDescent="0.2">
      <c r="T62">
        <v>750.2</v>
      </c>
      <c r="U62">
        <v>1134.55</v>
      </c>
      <c r="V62">
        <v>1056.32</v>
      </c>
      <c r="W62">
        <f t="shared" ref="W62:AE62" si="31">651.92+172.22</f>
        <v>824.14</v>
      </c>
      <c r="X62">
        <v>951.98</v>
      </c>
      <c r="Y62">
        <f t="shared" si="31"/>
        <v>824.14</v>
      </c>
      <c r="Z62">
        <f t="shared" si="31"/>
        <v>824.14</v>
      </c>
      <c r="AA62">
        <f t="shared" si="31"/>
        <v>824.14</v>
      </c>
      <c r="AB62">
        <f t="shared" si="31"/>
        <v>824.14</v>
      </c>
      <c r="AC62">
        <f t="shared" si="31"/>
        <v>824.14</v>
      </c>
      <c r="AD62">
        <f t="shared" si="31"/>
        <v>824.14</v>
      </c>
      <c r="AE62">
        <f t="shared" si="31"/>
        <v>824.14</v>
      </c>
    </row>
    <row r="63" spans="1:34" x14ac:dyDescent="0.2">
      <c r="T63">
        <f>D54*T62</f>
        <v>40510.800000000003</v>
      </c>
      <c r="U63">
        <f>D54*U62</f>
        <v>61265.7</v>
      </c>
      <c r="V63">
        <f>D54*V62</f>
        <v>57041.279999999999</v>
      </c>
      <c r="W63" t="e">
        <f>C54*W62</f>
        <v>#VALUE!</v>
      </c>
      <c r="X63">
        <f>D54*X62</f>
        <v>51406.92</v>
      </c>
      <c r="Y63" t="e">
        <f>C54*Y62</f>
        <v>#VALUE!</v>
      </c>
      <c r="Z63" t="e">
        <f>C54*Z62</f>
        <v>#VALUE!</v>
      </c>
      <c r="AA63" t="e">
        <f>C54*AA62</f>
        <v>#VALUE!</v>
      </c>
      <c r="AB63" t="e">
        <f>C54*AB62</f>
        <v>#VALUE!</v>
      </c>
      <c r="AC63" t="e">
        <f>C54*AC62</f>
        <v>#VALUE!</v>
      </c>
      <c r="AD63" t="e">
        <f>C54*AD62</f>
        <v>#VALUE!</v>
      </c>
      <c r="AE63">
        <f>D54*AE62</f>
        <v>44503.56</v>
      </c>
    </row>
    <row r="64" spans="1:34" x14ac:dyDescent="0.2">
      <c r="T64">
        <v>869.55</v>
      </c>
      <c r="U64">
        <v>1255.97</v>
      </c>
      <c r="V64">
        <v>1168.67</v>
      </c>
      <c r="W64">
        <f t="shared" ref="W64:AE64" si="32">827.93+172.49</f>
        <v>1000.42</v>
      </c>
      <c r="X64">
        <v>997.25</v>
      </c>
      <c r="Y64">
        <f t="shared" si="32"/>
        <v>1000.42</v>
      </c>
      <c r="Z64">
        <f t="shared" si="32"/>
        <v>1000.42</v>
      </c>
      <c r="AA64">
        <f t="shared" si="32"/>
        <v>1000.42</v>
      </c>
      <c r="AB64">
        <f t="shared" si="32"/>
        <v>1000.42</v>
      </c>
      <c r="AC64">
        <f t="shared" si="32"/>
        <v>1000.42</v>
      </c>
      <c r="AD64">
        <f t="shared" si="32"/>
        <v>1000.42</v>
      </c>
      <c r="AE64">
        <f t="shared" si="32"/>
        <v>1000.42</v>
      </c>
    </row>
    <row r="65" spans="20:31" x14ac:dyDescent="0.2">
      <c r="T65">
        <f>D55*T64</f>
        <v>0</v>
      </c>
      <c r="U65">
        <f>D55*U64</f>
        <v>0</v>
      </c>
      <c r="V65">
        <f>D55*V64</f>
        <v>0</v>
      </c>
      <c r="W65">
        <f>C55*W64</f>
        <v>0</v>
      </c>
      <c r="X65">
        <f>D56*X64</f>
        <v>476685.5</v>
      </c>
      <c r="Y65">
        <f>C55*Y64</f>
        <v>0</v>
      </c>
      <c r="Z65">
        <f>C55*Z64</f>
        <v>0</v>
      </c>
      <c r="AA65">
        <f>C55*AA64</f>
        <v>0</v>
      </c>
      <c r="AB65">
        <f>C55*AB64</f>
        <v>0</v>
      </c>
      <c r="AC65">
        <f>C55*AC64</f>
        <v>0</v>
      </c>
      <c r="AD65">
        <f>C55*AD64</f>
        <v>0</v>
      </c>
      <c r="AE65">
        <f>D55*AE64</f>
        <v>0</v>
      </c>
    </row>
    <row r="66" spans="20:31" x14ac:dyDescent="0.2">
      <c r="T66">
        <v>939.11</v>
      </c>
      <c r="U66">
        <v>1030</v>
      </c>
      <c r="V66">
        <v>958.42</v>
      </c>
      <c r="W66">
        <f t="shared" ref="W66:AE66" si="33">920.75+172.49</f>
        <v>1093.24</v>
      </c>
      <c r="X66">
        <v>941.21</v>
      </c>
      <c r="Y66">
        <f t="shared" si="33"/>
        <v>1093.24</v>
      </c>
      <c r="Z66">
        <f t="shared" si="33"/>
        <v>1093.24</v>
      </c>
      <c r="AA66">
        <f t="shared" si="33"/>
        <v>1093.24</v>
      </c>
      <c r="AB66">
        <f t="shared" si="33"/>
        <v>1093.24</v>
      </c>
      <c r="AC66">
        <f t="shared" si="33"/>
        <v>1093.24</v>
      </c>
      <c r="AD66">
        <f t="shared" si="33"/>
        <v>1093.24</v>
      </c>
      <c r="AE66">
        <f t="shared" si="33"/>
        <v>1093.24</v>
      </c>
    </row>
    <row r="67" spans="20:31" x14ac:dyDescent="0.2">
      <c r="T67">
        <f>D57*T66</f>
        <v>12208.43</v>
      </c>
      <c r="U67">
        <f>D57*U66</f>
        <v>13390</v>
      </c>
      <c r="V67">
        <f>D57*V66</f>
        <v>12459.46</v>
      </c>
      <c r="W67" t="e">
        <f>C57*W66</f>
        <v>#VALUE!</v>
      </c>
      <c r="X67">
        <f>D57*X66</f>
        <v>12235.73</v>
      </c>
      <c r="Y67" t="e">
        <f>C57*Y66</f>
        <v>#VALUE!</v>
      </c>
      <c r="Z67" t="e">
        <f>C57*Z66</f>
        <v>#VALUE!</v>
      </c>
      <c r="AA67" t="e">
        <f>C57*AA66</f>
        <v>#VALUE!</v>
      </c>
      <c r="AB67" t="e">
        <f>C57*AB66</f>
        <v>#VALUE!</v>
      </c>
      <c r="AC67" t="e">
        <f>C57*AC66</f>
        <v>#VALUE!</v>
      </c>
      <c r="AD67" t="e">
        <f>C57*AD66</f>
        <v>#VALUE!</v>
      </c>
      <c r="AE67">
        <f>D57*AE66</f>
        <v>14212.12</v>
      </c>
    </row>
    <row r="69" spans="20:31" x14ac:dyDescent="0.2">
      <c r="T69">
        <f>T63+T65+T67</f>
        <v>52719.23</v>
      </c>
      <c r="U69">
        <f>U63+U65+U67</f>
        <v>74655.7</v>
      </c>
      <c r="V69">
        <f>V63+V65+V67</f>
        <v>69500.739999999991</v>
      </c>
      <c r="W69" t="e">
        <f t="shared" ref="W69:AE69" si="34">W63+W65+W67</f>
        <v>#VALUE!</v>
      </c>
      <c r="X69">
        <f>X63+X65+X67</f>
        <v>540328.15</v>
      </c>
      <c r="Y69" t="e">
        <f t="shared" si="34"/>
        <v>#VALUE!</v>
      </c>
      <c r="Z69" t="e">
        <f t="shared" si="34"/>
        <v>#VALUE!</v>
      </c>
      <c r="AA69" t="e">
        <f t="shared" si="34"/>
        <v>#VALUE!</v>
      </c>
      <c r="AB69" t="e">
        <f t="shared" si="34"/>
        <v>#VALUE!</v>
      </c>
      <c r="AC69" t="e">
        <f t="shared" si="34"/>
        <v>#VALUE!</v>
      </c>
      <c r="AD69" t="e">
        <f t="shared" si="34"/>
        <v>#VALUE!</v>
      </c>
      <c r="AE69">
        <f t="shared" si="34"/>
        <v>58715.68</v>
      </c>
    </row>
    <row r="70" spans="20:31" x14ac:dyDescent="0.2">
      <c r="T70">
        <f>T69/D53</f>
        <v>96.732532110091753</v>
      </c>
      <c r="U70">
        <f>U69/D53</f>
        <v>136.9829357798165</v>
      </c>
      <c r="V70">
        <f>V69/D53</f>
        <v>127.52429357798164</v>
      </c>
      <c r="W70" t="e">
        <f>W69/C53</f>
        <v>#VALUE!</v>
      </c>
      <c r="X70" s="286">
        <f>X69/D53</f>
        <v>991.42779816513769</v>
      </c>
      <c r="Y70" t="e">
        <f>Y69/C53</f>
        <v>#VALUE!</v>
      </c>
      <c r="Z70" t="e">
        <f>Z69/C53</f>
        <v>#VALUE!</v>
      </c>
      <c r="AA70" t="e">
        <f>AA69/C53</f>
        <v>#VALUE!</v>
      </c>
      <c r="AB70" t="e">
        <f>AB69/C53</f>
        <v>#VALUE!</v>
      </c>
      <c r="AC70" t="e">
        <f>AC69/C53</f>
        <v>#VALUE!</v>
      </c>
      <c r="AD70" t="e">
        <f>AD69/C53</f>
        <v>#VALUE!</v>
      </c>
      <c r="AE70">
        <f>AE69/D53</f>
        <v>107.73519266055045</v>
      </c>
    </row>
  </sheetData>
  <printOptions horizontalCentered="1"/>
  <pageMargins left="0" right="0" top="1.1499999999999999" bottom="0.16" header="0.65" footer="0.05"/>
  <pageSetup scale="85" orientation="landscape" r:id="rId1"/>
  <headerFooter alignWithMargins="0">
    <oddHeader>&amp;C&amp;"Arial,Bold"&amp;12CITY OF PEARLAND
RENEWAL - PLAN OPTION</oddHead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I83"/>
  <sheetViews>
    <sheetView view="pageBreakPreview" zoomScaleNormal="130" zoomScalePageLayoutView="130" workbookViewId="0">
      <selection activeCell="Z84" sqref="Z84"/>
    </sheetView>
  </sheetViews>
  <sheetFormatPr defaultColWidth="8.85546875" defaultRowHeight="12.75" x14ac:dyDescent="0.2"/>
  <cols>
    <col min="1" max="1" width="21.7109375" customWidth="1"/>
    <col min="2" max="2" width="4" customWidth="1"/>
    <col min="3" max="3" width="10.85546875" customWidth="1"/>
    <col min="4" max="4" width="1.85546875" customWidth="1"/>
    <col min="5" max="5" width="14" hidden="1" customWidth="1"/>
    <col min="6" max="6" width="12" hidden="1" customWidth="1"/>
    <col min="7" max="7" width="12.7109375" hidden="1" customWidth="1"/>
    <col min="8" max="8" width="17.7109375" hidden="1" customWidth="1"/>
    <col min="9" max="9" width="18" hidden="1" customWidth="1"/>
    <col min="10" max="11" width="17.7109375" hidden="1" customWidth="1"/>
    <col min="12" max="15" width="15.140625" hidden="1" customWidth="1"/>
    <col min="16" max="16" width="14.28515625" hidden="1" customWidth="1"/>
    <col min="17" max="17" width="14.140625" hidden="1" customWidth="1"/>
    <col min="18" max="18" width="13" hidden="1" customWidth="1"/>
    <col min="19" max="19" width="9.140625" hidden="1" customWidth="1"/>
    <col min="20" max="20" width="12.42578125" customWidth="1"/>
    <col min="21" max="21" width="20.85546875" hidden="1" customWidth="1"/>
    <col min="22" max="22" width="12.42578125" customWidth="1"/>
    <col min="23" max="23" width="22.42578125" hidden="1" customWidth="1"/>
    <col min="24" max="24" width="13.85546875" customWidth="1"/>
    <col min="25" max="25" width="15.28515625" customWidth="1"/>
    <col min="26" max="26" width="21.140625" customWidth="1"/>
    <col min="27" max="27" width="21.140625" hidden="1" customWidth="1"/>
    <col min="28" max="32" width="21.140625" customWidth="1"/>
  </cols>
  <sheetData>
    <row r="1" spans="1:32" x14ac:dyDescent="0.2">
      <c r="H1" s="205"/>
    </row>
    <row r="2" spans="1:32" ht="13.5" thickBot="1" x14ac:dyDescent="0.25">
      <c r="H2" s="205"/>
      <c r="I2" s="205" t="s">
        <v>108</v>
      </c>
      <c r="J2" s="205" t="s">
        <v>108</v>
      </c>
      <c r="K2" s="205" t="s">
        <v>108</v>
      </c>
      <c r="L2" s="205" t="s">
        <v>108</v>
      </c>
      <c r="M2" s="205" t="s">
        <v>108</v>
      </c>
      <c r="N2" s="205" t="s">
        <v>108</v>
      </c>
      <c r="O2" s="205" t="s">
        <v>108</v>
      </c>
      <c r="P2" s="205" t="s">
        <v>108</v>
      </c>
      <c r="Q2" s="205" t="s">
        <v>108</v>
      </c>
      <c r="R2" s="205" t="s">
        <v>108</v>
      </c>
      <c r="S2" s="205" t="s">
        <v>108</v>
      </c>
      <c r="T2" s="205"/>
      <c r="U2" s="205"/>
      <c r="V2" s="205"/>
      <c r="W2" s="205"/>
      <c r="X2" s="205"/>
      <c r="Y2" s="205"/>
      <c r="Z2" s="205"/>
      <c r="AA2" s="205"/>
      <c r="AB2" s="205"/>
      <c r="AC2" s="205"/>
      <c r="AD2" s="205"/>
      <c r="AE2" s="205"/>
      <c r="AF2" s="205"/>
    </row>
    <row r="3" spans="1:32" ht="22.5" hidden="1" x14ac:dyDescent="0.2">
      <c r="A3" s="441" t="s">
        <v>0</v>
      </c>
      <c r="B3" s="442"/>
      <c r="C3" s="442"/>
      <c r="D3" s="443"/>
      <c r="E3" s="444" t="s">
        <v>74</v>
      </c>
      <c r="F3" s="444" t="s">
        <v>74</v>
      </c>
      <c r="G3" s="444" t="s">
        <v>74</v>
      </c>
      <c r="H3" s="444" t="s">
        <v>74</v>
      </c>
      <c r="I3" s="445" t="s">
        <v>74</v>
      </c>
      <c r="J3" s="445" t="s">
        <v>74</v>
      </c>
      <c r="K3" s="445" t="s">
        <v>91</v>
      </c>
      <c r="L3" s="446" t="s">
        <v>87</v>
      </c>
      <c r="M3" s="444" t="s">
        <v>76</v>
      </c>
      <c r="N3" s="445" t="s">
        <v>76</v>
      </c>
      <c r="O3" s="445" t="s">
        <v>74</v>
      </c>
      <c r="P3" s="445" t="s">
        <v>74</v>
      </c>
      <c r="Q3" s="445" t="s">
        <v>74</v>
      </c>
      <c r="R3" s="445" t="s">
        <v>74</v>
      </c>
      <c r="S3" s="379"/>
      <c r="T3" s="447" t="s">
        <v>121</v>
      </c>
      <c r="U3" s="445" t="s">
        <v>120</v>
      </c>
      <c r="V3" s="445" t="s">
        <v>145</v>
      </c>
      <c r="W3" s="448" t="s">
        <v>91</v>
      </c>
      <c r="X3" s="445" t="str">
        <f>'2016 Renewal'!M3</f>
        <v>Cigna</v>
      </c>
      <c r="Y3" s="449" t="s">
        <v>148</v>
      </c>
      <c r="Z3" s="178" t="s">
        <v>91</v>
      </c>
      <c r="AA3" s="141" t="s">
        <v>91</v>
      </c>
      <c r="AB3" s="141" t="s">
        <v>91</v>
      </c>
      <c r="AC3" s="141" t="s">
        <v>91</v>
      </c>
      <c r="AD3" s="141" t="s">
        <v>91</v>
      </c>
      <c r="AE3" s="141" t="s">
        <v>91</v>
      </c>
      <c r="AF3" s="141" t="s">
        <v>91</v>
      </c>
    </row>
    <row r="4" spans="1:32" ht="25.5" customHeight="1" x14ac:dyDescent="0.2">
      <c r="A4" s="136" t="s">
        <v>86</v>
      </c>
      <c r="B4" s="137"/>
      <c r="C4" s="137"/>
      <c r="D4" s="138"/>
      <c r="E4" s="139" t="s">
        <v>74</v>
      </c>
      <c r="F4" s="139" t="s">
        <v>74</v>
      </c>
      <c r="G4" s="139" t="s">
        <v>74</v>
      </c>
      <c r="H4" s="139" t="s">
        <v>74</v>
      </c>
      <c r="I4" s="140" t="s">
        <v>74</v>
      </c>
      <c r="J4" s="140" t="s">
        <v>109</v>
      </c>
      <c r="K4" s="140" t="s">
        <v>91</v>
      </c>
      <c r="L4" s="178" t="s">
        <v>94</v>
      </c>
      <c r="M4" s="139" t="s">
        <v>92</v>
      </c>
      <c r="N4" s="140" t="s">
        <v>93</v>
      </c>
      <c r="O4" s="140" t="s">
        <v>79</v>
      </c>
      <c r="P4" s="140" t="s">
        <v>78</v>
      </c>
      <c r="Q4" s="140" t="s">
        <v>94</v>
      </c>
      <c r="R4" s="140" t="s">
        <v>95</v>
      </c>
      <c r="S4" s="379"/>
      <c r="T4" s="294" t="s">
        <v>91</v>
      </c>
      <c r="U4" s="140" t="s">
        <v>91</v>
      </c>
      <c r="V4" s="140" t="s">
        <v>91</v>
      </c>
      <c r="W4" s="328" t="s">
        <v>142</v>
      </c>
      <c r="X4" s="140" t="s">
        <v>158</v>
      </c>
      <c r="Y4" s="141" t="s">
        <v>159</v>
      </c>
      <c r="Z4" s="179" t="s">
        <v>141</v>
      </c>
      <c r="AA4" s="143" t="s">
        <v>140</v>
      </c>
      <c r="AB4" s="143" t="s">
        <v>139</v>
      </c>
      <c r="AC4" s="143" t="s">
        <v>142</v>
      </c>
      <c r="AD4" s="143" t="s">
        <v>141</v>
      </c>
      <c r="AE4" s="143" t="s">
        <v>140</v>
      </c>
      <c r="AF4" s="143" t="s">
        <v>139</v>
      </c>
    </row>
    <row r="5" spans="1:32" hidden="1" x14ac:dyDescent="0.2">
      <c r="A5" s="142" t="s">
        <v>1</v>
      </c>
      <c r="B5" s="120"/>
      <c r="C5" s="120"/>
      <c r="D5" s="121"/>
      <c r="E5" s="119" t="s">
        <v>88</v>
      </c>
      <c r="F5" s="119" t="s">
        <v>88</v>
      </c>
      <c r="G5" s="119" t="s">
        <v>88</v>
      </c>
      <c r="H5" s="119" t="s">
        <v>88</v>
      </c>
      <c r="I5" s="119" t="s">
        <v>88</v>
      </c>
      <c r="J5" s="119" t="s">
        <v>106</v>
      </c>
      <c r="K5" s="84" t="s">
        <v>91</v>
      </c>
      <c r="L5" s="179" t="s">
        <v>74</v>
      </c>
      <c r="M5" s="119" t="s">
        <v>85</v>
      </c>
      <c r="N5" s="84" t="s">
        <v>85</v>
      </c>
      <c r="O5" s="84" t="s">
        <v>74</v>
      </c>
      <c r="P5" s="84" t="s">
        <v>74</v>
      </c>
      <c r="Q5" s="84" t="s">
        <v>74</v>
      </c>
      <c r="R5" s="84" t="s">
        <v>74</v>
      </c>
      <c r="S5" s="85"/>
      <c r="T5" s="295" t="s">
        <v>115</v>
      </c>
      <c r="U5" s="84" t="s">
        <v>115</v>
      </c>
      <c r="V5" s="84" t="s">
        <v>115</v>
      </c>
      <c r="W5" s="329" t="s">
        <v>115</v>
      </c>
      <c r="X5" s="84" t="str">
        <f>'2016 Renewal'!M5</f>
        <v>KC / OAP</v>
      </c>
      <c r="Y5" s="143" t="s">
        <v>115</v>
      </c>
      <c r="Z5" s="179" t="s">
        <v>115</v>
      </c>
      <c r="AA5" s="143" t="s">
        <v>115</v>
      </c>
      <c r="AB5" s="143" t="s">
        <v>115</v>
      </c>
      <c r="AC5" s="143" t="s">
        <v>115</v>
      </c>
      <c r="AD5" s="143" t="s">
        <v>115</v>
      </c>
      <c r="AE5" s="143" t="s">
        <v>115</v>
      </c>
      <c r="AF5" s="143" t="s">
        <v>115</v>
      </c>
    </row>
    <row r="6" spans="1:32" hidden="1" x14ac:dyDescent="0.2">
      <c r="A6" s="142" t="s">
        <v>73</v>
      </c>
      <c r="B6" s="120"/>
      <c r="C6" s="120"/>
      <c r="D6" s="121"/>
      <c r="E6" s="119" t="s">
        <v>74</v>
      </c>
      <c r="F6" s="119" t="s">
        <v>74</v>
      </c>
      <c r="G6" s="119" t="s">
        <v>74</v>
      </c>
      <c r="H6" s="119" t="s">
        <v>74</v>
      </c>
      <c r="I6" s="119" t="s">
        <v>74</v>
      </c>
      <c r="J6" s="119" t="s">
        <v>74</v>
      </c>
      <c r="K6" s="84" t="s">
        <v>91</v>
      </c>
      <c r="L6" s="179" t="s">
        <v>74</v>
      </c>
      <c r="M6" s="119" t="s">
        <v>49</v>
      </c>
      <c r="N6" s="84" t="s">
        <v>49</v>
      </c>
      <c r="O6" s="84" t="s">
        <v>74</v>
      </c>
      <c r="P6" s="84" t="s">
        <v>74</v>
      </c>
      <c r="Q6" s="84" t="s">
        <v>74</v>
      </c>
      <c r="R6" s="84" t="s">
        <v>74</v>
      </c>
      <c r="S6" s="85"/>
      <c r="T6" s="295" t="s">
        <v>91</v>
      </c>
      <c r="U6" s="84" t="s">
        <v>91</v>
      </c>
      <c r="V6" s="84" t="s">
        <v>91</v>
      </c>
      <c r="W6" s="329" t="s">
        <v>91</v>
      </c>
      <c r="X6" s="84" t="str">
        <f>'2016 Renewal'!M6</f>
        <v>Cigna</v>
      </c>
      <c r="Y6" s="143" t="s">
        <v>91</v>
      </c>
      <c r="Z6" s="179" t="s">
        <v>91</v>
      </c>
      <c r="AA6" s="143" t="s">
        <v>91</v>
      </c>
      <c r="AB6" s="143" t="s">
        <v>91</v>
      </c>
      <c r="AC6" s="143" t="s">
        <v>91</v>
      </c>
      <c r="AD6" s="143" t="s">
        <v>91</v>
      </c>
      <c r="AE6" s="143" t="s">
        <v>91</v>
      </c>
      <c r="AF6" s="143" t="s">
        <v>91</v>
      </c>
    </row>
    <row r="7" spans="1:32" x14ac:dyDescent="0.2">
      <c r="A7" s="1481" t="s">
        <v>160</v>
      </c>
      <c r="B7" s="1482"/>
      <c r="C7" s="1482"/>
      <c r="D7" s="121"/>
      <c r="E7" s="119">
        <v>100000</v>
      </c>
      <c r="F7" s="119">
        <v>100000</v>
      </c>
      <c r="G7" s="119">
        <v>100000</v>
      </c>
      <c r="H7" s="119">
        <v>100000</v>
      </c>
      <c r="I7" s="119">
        <v>125000</v>
      </c>
      <c r="J7" s="119">
        <v>125000</v>
      </c>
      <c r="K7" s="84">
        <v>125000</v>
      </c>
      <c r="L7" s="179">
        <v>125000</v>
      </c>
      <c r="M7" s="119">
        <v>125000</v>
      </c>
      <c r="N7" s="84">
        <v>125000</v>
      </c>
      <c r="O7" s="84">
        <v>125000</v>
      </c>
      <c r="P7" s="84">
        <v>125000</v>
      </c>
      <c r="Q7" s="84">
        <v>125000</v>
      </c>
      <c r="R7" s="84">
        <v>125000</v>
      </c>
      <c r="S7" s="85">
        <v>125000</v>
      </c>
      <c r="T7" s="363">
        <v>125000</v>
      </c>
      <c r="U7" s="364">
        <v>125000</v>
      </c>
      <c r="V7" s="364">
        <v>125000</v>
      </c>
      <c r="W7" s="365">
        <v>125000</v>
      </c>
      <c r="X7" s="364">
        <f>'2016 Renewal'!M7</f>
        <v>125000</v>
      </c>
      <c r="Y7" s="366">
        <v>125000</v>
      </c>
      <c r="Z7" s="309">
        <v>125000</v>
      </c>
      <c r="AA7" s="227">
        <v>125000</v>
      </c>
      <c r="AB7" s="227">
        <v>125000</v>
      </c>
      <c r="AC7" s="227">
        <v>150000</v>
      </c>
      <c r="AD7" s="227">
        <v>150000</v>
      </c>
      <c r="AE7" s="227">
        <v>150000</v>
      </c>
      <c r="AF7" s="227">
        <v>150000</v>
      </c>
    </row>
    <row r="8" spans="1:32" hidden="1" x14ac:dyDescent="0.2">
      <c r="A8" s="226" t="s">
        <v>3</v>
      </c>
      <c r="B8" s="85"/>
      <c r="C8" s="85"/>
      <c r="D8" s="380"/>
      <c r="E8" s="203" t="s">
        <v>43</v>
      </c>
      <c r="F8" s="381" t="s">
        <v>43</v>
      </c>
      <c r="G8" s="203" t="s">
        <v>99</v>
      </c>
      <c r="H8" s="381" t="s">
        <v>99</v>
      </c>
      <c r="I8" s="381" t="s">
        <v>99</v>
      </c>
      <c r="J8" s="381" t="s">
        <v>99</v>
      </c>
      <c r="K8" s="381" t="s">
        <v>99</v>
      </c>
      <c r="L8" s="382" t="s">
        <v>43</v>
      </c>
      <c r="M8" s="383" t="s">
        <v>43</v>
      </c>
      <c r="N8" s="381" t="s">
        <v>43</v>
      </c>
      <c r="O8" s="381" t="s">
        <v>43</v>
      </c>
      <c r="P8" s="381" t="s">
        <v>43</v>
      </c>
      <c r="Q8" s="381" t="s">
        <v>43</v>
      </c>
      <c r="R8" s="381" t="s">
        <v>43</v>
      </c>
      <c r="S8" s="85"/>
      <c r="T8" s="384" t="s">
        <v>99</v>
      </c>
      <c r="U8" s="381" t="s">
        <v>99</v>
      </c>
      <c r="V8" s="381" t="s">
        <v>99</v>
      </c>
      <c r="W8" s="385" t="s">
        <v>99</v>
      </c>
      <c r="X8" s="385"/>
      <c r="Y8" s="386" t="s">
        <v>99</v>
      </c>
      <c r="Z8" s="180" t="s">
        <v>99</v>
      </c>
      <c r="AA8" s="145" t="s">
        <v>99</v>
      </c>
      <c r="AB8" s="145" t="s">
        <v>99</v>
      </c>
      <c r="AC8" s="145" t="s">
        <v>99</v>
      </c>
      <c r="AD8" s="145" t="s">
        <v>99</v>
      </c>
      <c r="AE8" s="145" t="s">
        <v>99</v>
      </c>
      <c r="AF8" s="145" t="s">
        <v>99</v>
      </c>
    </row>
    <row r="9" spans="1:32" hidden="1" x14ac:dyDescent="0.2">
      <c r="A9" s="226" t="s">
        <v>80</v>
      </c>
      <c r="B9" s="85"/>
      <c r="C9" s="85"/>
      <c r="D9" s="380"/>
      <c r="E9" s="387" t="s">
        <v>77</v>
      </c>
      <c r="F9" s="387" t="s">
        <v>77</v>
      </c>
      <c r="G9" s="387" t="s">
        <v>77</v>
      </c>
      <c r="H9" s="387" t="s">
        <v>77</v>
      </c>
      <c r="I9" s="387" t="s">
        <v>77</v>
      </c>
      <c r="J9" s="387" t="s">
        <v>77</v>
      </c>
      <c r="K9" s="387" t="s">
        <v>77</v>
      </c>
      <c r="L9" s="388">
        <v>2000000</v>
      </c>
      <c r="M9" s="389">
        <v>5000000</v>
      </c>
      <c r="N9" s="390">
        <v>5000000</v>
      </c>
      <c r="O9" s="387">
        <v>5000000</v>
      </c>
      <c r="P9" s="387">
        <v>2000000</v>
      </c>
      <c r="Q9" s="387">
        <v>2000000</v>
      </c>
      <c r="R9" s="387">
        <v>2000000</v>
      </c>
      <c r="S9" s="85"/>
      <c r="T9" s="391" t="s">
        <v>77</v>
      </c>
      <c r="U9" s="387" t="s">
        <v>77</v>
      </c>
      <c r="V9" s="387" t="s">
        <v>77</v>
      </c>
      <c r="W9" s="392" t="s">
        <v>77</v>
      </c>
      <c r="X9" s="392"/>
      <c r="Y9" s="393" t="s">
        <v>77</v>
      </c>
      <c r="Z9" s="181" t="s">
        <v>77</v>
      </c>
      <c r="AA9" s="146" t="s">
        <v>77</v>
      </c>
      <c r="AB9" s="146" t="s">
        <v>77</v>
      </c>
      <c r="AC9" s="146" t="s">
        <v>77</v>
      </c>
      <c r="AD9" s="146" t="s">
        <v>77</v>
      </c>
      <c r="AE9" s="146" t="s">
        <v>77</v>
      </c>
      <c r="AF9" s="146" t="s">
        <v>77</v>
      </c>
    </row>
    <row r="10" spans="1:32" hidden="1" x14ac:dyDescent="0.2">
      <c r="A10" s="226" t="s">
        <v>4</v>
      </c>
      <c r="B10" s="85"/>
      <c r="C10" s="85"/>
      <c r="D10" s="380"/>
      <c r="E10" s="203" t="s">
        <v>43</v>
      </c>
      <c r="F10" s="204" t="s">
        <v>43</v>
      </c>
      <c r="G10" s="203" t="s">
        <v>99</v>
      </c>
      <c r="H10" s="381" t="s">
        <v>99</v>
      </c>
      <c r="I10" s="381" t="s">
        <v>99</v>
      </c>
      <c r="J10" s="381" t="s">
        <v>99</v>
      </c>
      <c r="K10" s="381" t="s">
        <v>99</v>
      </c>
      <c r="L10" s="382" t="s">
        <v>43</v>
      </c>
      <c r="M10" s="383" t="s">
        <v>43</v>
      </c>
      <c r="N10" s="381" t="s">
        <v>43</v>
      </c>
      <c r="O10" s="381" t="s">
        <v>43</v>
      </c>
      <c r="P10" s="381" t="s">
        <v>43</v>
      </c>
      <c r="Q10" s="381" t="s">
        <v>43</v>
      </c>
      <c r="R10" s="381" t="s">
        <v>43</v>
      </c>
      <c r="S10" s="85"/>
      <c r="T10" s="384" t="s">
        <v>99</v>
      </c>
      <c r="U10" s="381" t="s">
        <v>99</v>
      </c>
      <c r="V10" s="381" t="s">
        <v>99</v>
      </c>
      <c r="W10" s="385" t="s">
        <v>99</v>
      </c>
      <c r="X10" s="385"/>
      <c r="Y10" s="386" t="s">
        <v>99</v>
      </c>
      <c r="Z10" s="180" t="s">
        <v>99</v>
      </c>
      <c r="AA10" s="145" t="s">
        <v>99</v>
      </c>
      <c r="AB10" s="145" t="s">
        <v>99</v>
      </c>
      <c r="AC10" s="145" t="s">
        <v>99</v>
      </c>
      <c r="AD10" s="145" t="s">
        <v>99</v>
      </c>
      <c r="AE10" s="145" t="s">
        <v>99</v>
      </c>
      <c r="AF10" s="145" t="s">
        <v>99</v>
      </c>
    </row>
    <row r="11" spans="1:32" hidden="1" x14ac:dyDescent="0.2">
      <c r="A11" s="226" t="s">
        <v>81</v>
      </c>
      <c r="B11" s="85"/>
      <c r="C11" s="85"/>
      <c r="D11" s="380"/>
      <c r="E11" s="387">
        <v>1000000</v>
      </c>
      <c r="F11" s="387">
        <v>1000000</v>
      </c>
      <c r="G11" s="387">
        <v>1000000</v>
      </c>
      <c r="H11" s="387">
        <v>1000000</v>
      </c>
      <c r="I11" s="387">
        <v>1000000</v>
      </c>
      <c r="J11" s="387">
        <v>1000000</v>
      </c>
      <c r="K11" s="387" t="s">
        <v>77</v>
      </c>
      <c r="L11" s="388">
        <v>1000000</v>
      </c>
      <c r="M11" s="389">
        <v>1000000</v>
      </c>
      <c r="N11" s="390">
        <v>1000000</v>
      </c>
      <c r="O11" s="387">
        <v>1000000</v>
      </c>
      <c r="P11" s="387">
        <v>1000000</v>
      </c>
      <c r="Q11" s="387">
        <v>1000000</v>
      </c>
      <c r="R11" s="387">
        <v>1000000</v>
      </c>
      <c r="S11" s="85"/>
      <c r="T11" s="391" t="s">
        <v>77</v>
      </c>
      <c r="U11" s="387" t="s">
        <v>77</v>
      </c>
      <c r="V11" s="387" t="s">
        <v>77</v>
      </c>
      <c r="W11" s="392" t="s">
        <v>77</v>
      </c>
      <c r="X11" s="392"/>
      <c r="Y11" s="393" t="s">
        <v>77</v>
      </c>
      <c r="Z11" s="181" t="s">
        <v>77</v>
      </c>
      <c r="AA11" s="146" t="s">
        <v>77</v>
      </c>
      <c r="AB11" s="146" t="s">
        <v>77</v>
      </c>
      <c r="AC11" s="146" t="s">
        <v>77</v>
      </c>
      <c r="AD11" s="146" t="s">
        <v>77</v>
      </c>
      <c r="AE11" s="146" t="s">
        <v>77</v>
      </c>
      <c r="AF11" s="146" t="s">
        <v>77</v>
      </c>
    </row>
    <row r="12" spans="1:32" hidden="1" x14ac:dyDescent="0.2">
      <c r="A12" s="226"/>
      <c r="B12" s="85"/>
      <c r="C12" s="85"/>
      <c r="D12" s="380"/>
      <c r="E12" s="381"/>
      <c r="F12" s="381"/>
      <c r="G12" s="381"/>
      <c r="H12" s="381"/>
      <c r="I12" s="381"/>
      <c r="J12" s="381"/>
      <c r="K12" s="381"/>
      <c r="L12" s="382"/>
      <c r="M12" s="383"/>
      <c r="N12" s="381"/>
      <c r="O12" s="381"/>
      <c r="P12" s="381"/>
      <c r="Q12" s="381"/>
      <c r="R12" s="381"/>
      <c r="S12" s="85"/>
      <c r="T12" s="384"/>
      <c r="U12" s="381"/>
      <c r="V12" s="381"/>
      <c r="W12" s="385"/>
      <c r="X12" s="385"/>
      <c r="Y12" s="386"/>
      <c r="Z12" s="180"/>
      <c r="AA12" s="145"/>
      <c r="AB12" s="145"/>
      <c r="AC12" s="145"/>
      <c r="AD12" s="145"/>
      <c r="AE12" s="145"/>
      <c r="AF12" s="145"/>
    </row>
    <row r="13" spans="1:32" hidden="1" x14ac:dyDescent="0.2">
      <c r="A13" s="226" t="s">
        <v>103</v>
      </c>
      <c r="B13" s="85"/>
      <c r="C13" s="85"/>
      <c r="D13" s="380"/>
      <c r="E13" s="394">
        <f>71.54+4.09</f>
        <v>75.63000000000001</v>
      </c>
      <c r="F13" s="395">
        <v>75.63</v>
      </c>
      <c r="G13" s="396">
        <v>113.96</v>
      </c>
      <c r="H13" s="394">
        <v>97.79</v>
      </c>
      <c r="I13" s="394">
        <v>94.97</v>
      </c>
      <c r="J13" s="394">
        <v>95.18</v>
      </c>
      <c r="K13" s="394">
        <f>80.9+3.95</f>
        <v>84.850000000000009</v>
      </c>
      <c r="L13" s="397">
        <v>96.83</v>
      </c>
      <c r="M13" s="398">
        <v>77.08</v>
      </c>
      <c r="N13" s="394">
        <v>105.02</v>
      </c>
      <c r="O13" s="394">
        <v>77.73</v>
      </c>
      <c r="P13" s="394">
        <v>81.510000000000005</v>
      </c>
      <c r="Q13" s="394">
        <v>96.83</v>
      </c>
      <c r="R13" s="394">
        <v>96.83</v>
      </c>
      <c r="S13" s="85"/>
      <c r="T13" s="399">
        <f>85.53+3.95</f>
        <v>89.48</v>
      </c>
      <c r="U13" s="394">
        <f>104.95+4.51</f>
        <v>109.46000000000001</v>
      </c>
      <c r="V13" s="394">
        <f>90.82+3.95</f>
        <v>94.77</v>
      </c>
      <c r="W13" s="287">
        <v>97.78</v>
      </c>
      <c r="X13" s="287"/>
      <c r="Y13" s="400">
        <f>88.68+3.72</f>
        <v>92.4</v>
      </c>
      <c r="Z13" s="182">
        <v>94.4</v>
      </c>
      <c r="AA13" s="148">
        <v>89.93</v>
      </c>
      <c r="AB13" s="148">
        <v>90.57</v>
      </c>
      <c r="AC13" s="148">
        <v>83.65</v>
      </c>
      <c r="AD13" s="148">
        <v>80</v>
      </c>
      <c r="AE13" s="148">
        <v>73.66</v>
      </c>
      <c r="AF13" s="148">
        <v>75.510000000000005</v>
      </c>
    </row>
    <row r="14" spans="1:32" hidden="1" x14ac:dyDescent="0.2">
      <c r="A14" s="228" t="s">
        <v>118</v>
      </c>
      <c r="B14" s="85"/>
      <c r="C14" s="85"/>
      <c r="D14" s="380"/>
      <c r="E14" s="394">
        <v>0</v>
      </c>
      <c r="F14" s="394">
        <v>0</v>
      </c>
      <c r="G14" s="394">
        <v>0</v>
      </c>
      <c r="H14" s="394">
        <v>0</v>
      </c>
      <c r="I14" s="394">
        <v>0</v>
      </c>
      <c r="J14" s="394">
        <v>0</v>
      </c>
      <c r="K14" s="394">
        <v>0</v>
      </c>
      <c r="L14" s="397">
        <v>0</v>
      </c>
      <c r="M14" s="398">
        <v>0</v>
      </c>
      <c r="N14" s="394">
        <v>0</v>
      </c>
      <c r="O14" s="394">
        <v>0</v>
      </c>
      <c r="P14" s="394">
        <v>0</v>
      </c>
      <c r="Q14" s="394">
        <v>0</v>
      </c>
      <c r="R14" s="394">
        <v>0</v>
      </c>
      <c r="S14" s="85"/>
      <c r="T14" s="399">
        <v>0</v>
      </c>
      <c r="U14" s="394">
        <v>0</v>
      </c>
      <c r="V14" s="394">
        <v>0</v>
      </c>
      <c r="W14" s="287">
        <v>0</v>
      </c>
      <c r="X14" s="287"/>
      <c r="Y14" s="400">
        <v>0</v>
      </c>
      <c r="Z14" s="182">
        <v>0</v>
      </c>
      <c r="AA14" s="148">
        <v>0</v>
      </c>
      <c r="AB14" s="148">
        <v>0</v>
      </c>
      <c r="AC14" s="148">
        <v>0</v>
      </c>
      <c r="AD14" s="148">
        <v>0</v>
      </c>
      <c r="AE14" s="148">
        <v>0</v>
      </c>
      <c r="AF14" s="148">
        <v>0</v>
      </c>
    </row>
    <row r="15" spans="1:32" hidden="1" x14ac:dyDescent="0.2">
      <c r="A15" s="228"/>
      <c r="B15" s="85"/>
      <c r="C15" s="85"/>
      <c r="D15" s="380"/>
      <c r="E15" s="401"/>
      <c r="F15" s="401"/>
      <c r="G15" s="401"/>
      <c r="H15" s="401"/>
      <c r="I15" s="401"/>
      <c r="J15" s="401"/>
      <c r="K15" s="401"/>
      <c r="L15" s="402"/>
      <c r="M15" s="403"/>
      <c r="N15" s="401"/>
      <c r="O15" s="401"/>
      <c r="P15" s="401"/>
      <c r="Q15" s="401"/>
      <c r="R15" s="401"/>
      <c r="S15" s="85"/>
      <c r="T15" s="404"/>
      <c r="U15" s="401"/>
      <c r="V15" s="401"/>
      <c r="W15" s="85"/>
      <c r="X15" s="85"/>
      <c r="Y15" s="405"/>
      <c r="Z15" s="183"/>
      <c r="AA15" s="149"/>
      <c r="AB15" s="149"/>
      <c r="AC15" s="149"/>
      <c r="AD15" s="149"/>
      <c r="AE15" s="149"/>
      <c r="AF15" s="149"/>
    </row>
    <row r="16" spans="1:32" hidden="1" x14ac:dyDescent="0.2">
      <c r="A16" s="226" t="s">
        <v>5</v>
      </c>
      <c r="B16" s="85"/>
      <c r="C16" s="85"/>
      <c r="D16" s="380"/>
      <c r="E16" s="406" t="e">
        <f>+(E13*$D$53)+(E14*$C$53)</f>
        <v>#VALUE!</v>
      </c>
      <c r="F16" s="406" t="e">
        <f>+(F13*$D$53)+(F14*$C$53)</f>
        <v>#VALUE!</v>
      </c>
      <c r="G16" s="406" t="e">
        <f>+(G13*$D$53)+(G14*$C$53)</f>
        <v>#VALUE!</v>
      </c>
      <c r="H16" s="406">
        <f t="shared" ref="H16:W16" si="0">+(H13*$D$53)</f>
        <v>53295.55</v>
      </c>
      <c r="I16" s="406">
        <f t="shared" si="0"/>
        <v>51758.65</v>
      </c>
      <c r="J16" s="406">
        <f t="shared" si="0"/>
        <v>51873.100000000006</v>
      </c>
      <c r="K16" s="406">
        <f t="shared" si="0"/>
        <v>46243.250000000007</v>
      </c>
      <c r="L16" s="406">
        <f t="shared" si="0"/>
        <v>52772.35</v>
      </c>
      <c r="M16" s="406">
        <f t="shared" si="0"/>
        <v>42008.6</v>
      </c>
      <c r="N16" s="406">
        <f t="shared" si="0"/>
        <v>57235.9</v>
      </c>
      <c r="O16" s="406">
        <f t="shared" si="0"/>
        <v>42362.85</v>
      </c>
      <c r="P16" s="406">
        <f t="shared" si="0"/>
        <v>44422.950000000004</v>
      </c>
      <c r="Q16" s="406">
        <f t="shared" si="0"/>
        <v>52772.35</v>
      </c>
      <c r="R16" s="406">
        <f t="shared" si="0"/>
        <v>52772.35</v>
      </c>
      <c r="S16" s="406">
        <f t="shared" si="0"/>
        <v>0</v>
      </c>
      <c r="T16" s="407">
        <f t="shared" si="0"/>
        <v>48766.6</v>
      </c>
      <c r="U16" s="406">
        <f t="shared" si="0"/>
        <v>59655.700000000004</v>
      </c>
      <c r="V16" s="406">
        <f t="shared" si="0"/>
        <v>51649.65</v>
      </c>
      <c r="W16" s="408">
        <f t="shared" si="0"/>
        <v>53290.1</v>
      </c>
      <c r="X16" s="408"/>
      <c r="Y16" s="405">
        <f t="shared" ref="Y16:AF16" si="1">+(Y13*$D$53)</f>
        <v>50358</v>
      </c>
      <c r="Z16" s="184">
        <f t="shared" si="1"/>
        <v>51448</v>
      </c>
      <c r="AA16" s="150">
        <f t="shared" si="1"/>
        <v>49011.850000000006</v>
      </c>
      <c r="AB16" s="150">
        <f t="shared" si="1"/>
        <v>49360.649999999994</v>
      </c>
      <c r="AC16" s="150">
        <f t="shared" si="1"/>
        <v>45589.25</v>
      </c>
      <c r="AD16" s="150">
        <f t="shared" si="1"/>
        <v>43600</v>
      </c>
      <c r="AE16" s="150">
        <f t="shared" si="1"/>
        <v>40144.699999999997</v>
      </c>
      <c r="AF16" s="150">
        <f t="shared" si="1"/>
        <v>41152.950000000004</v>
      </c>
    </row>
    <row r="17" spans="1:35" ht="13.5" thickBot="1" x14ac:dyDescent="0.25">
      <c r="A17" s="1490" t="s">
        <v>153</v>
      </c>
      <c r="B17" s="1491"/>
      <c r="C17" s="1491"/>
      <c r="D17" s="1492"/>
      <c r="E17" s="411" t="e">
        <f t="shared" ref="E17:R17" si="2">+E16*12</f>
        <v>#VALUE!</v>
      </c>
      <c r="F17" s="411" t="e">
        <f t="shared" si="2"/>
        <v>#VALUE!</v>
      </c>
      <c r="G17" s="411" t="e">
        <f t="shared" si="2"/>
        <v>#VALUE!</v>
      </c>
      <c r="H17" s="411">
        <f t="shared" si="2"/>
        <v>639546.60000000009</v>
      </c>
      <c r="I17" s="411">
        <f t="shared" si="2"/>
        <v>621103.80000000005</v>
      </c>
      <c r="J17" s="411">
        <f>+J16*12</f>
        <v>622477.20000000007</v>
      </c>
      <c r="K17" s="411">
        <f t="shared" si="2"/>
        <v>554919.00000000012</v>
      </c>
      <c r="L17" s="412">
        <f t="shared" si="2"/>
        <v>633268.19999999995</v>
      </c>
      <c r="M17" s="413">
        <f t="shared" si="2"/>
        <v>504103.19999999995</v>
      </c>
      <c r="N17" s="411">
        <f t="shared" si="2"/>
        <v>686830.8</v>
      </c>
      <c r="O17" s="411">
        <f t="shared" si="2"/>
        <v>508354.19999999995</v>
      </c>
      <c r="P17" s="411">
        <f t="shared" si="2"/>
        <v>533075.4</v>
      </c>
      <c r="Q17" s="411">
        <f t="shared" si="2"/>
        <v>633268.19999999995</v>
      </c>
      <c r="R17" s="411">
        <f t="shared" si="2"/>
        <v>633268.19999999995</v>
      </c>
      <c r="S17" s="85"/>
      <c r="T17" s="199">
        <f t="shared" ref="T17:AF17" si="3">+T16*12</f>
        <v>585199.19999999995</v>
      </c>
      <c r="U17" s="176">
        <f t="shared" si="3"/>
        <v>715868.4</v>
      </c>
      <c r="V17" s="176">
        <f>+V16*12</f>
        <v>619795.80000000005</v>
      </c>
      <c r="W17" s="338">
        <f t="shared" si="3"/>
        <v>639481.19999999995</v>
      </c>
      <c r="X17" s="338">
        <f>'2016 Renewal'!M17</f>
        <v>0</v>
      </c>
      <c r="Y17" s="224">
        <f>+Y16*12</f>
        <v>604296</v>
      </c>
      <c r="Z17" s="185">
        <f t="shared" si="3"/>
        <v>617376</v>
      </c>
      <c r="AA17" s="152">
        <f t="shared" si="3"/>
        <v>588142.20000000007</v>
      </c>
      <c r="AB17" s="152">
        <f t="shared" si="3"/>
        <v>592327.79999999993</v>
      </c>
      <c r="AC17" s="152">
        <f t="shared" si="3"/>
        <v>547071</v>
      </c>
      <c r="AD17" s="152">
        <f t="shared" si="3"/>
        <v>523200</v>
      </c>
      <c r="AE17" s="152">
        <f t="shared" si="3"/>
        <v>481736.39999999997</v>
      </c>
      <c r="AF17" s="152">
        <f t="shared" si="3"/>
        <v>493835.4</v>
      </c>
    </row>
    <row r="18" spans="1:35" ht="13.5" hidden="1" thickTop="1" x14ac:dyDescent="0.2">
      <c r="A18" s="226" t="s">
        <v>7</v>
      </c>
      <c r="B18" s="85"/>
      <c r="C18" s="85"/>
      <c r="D18" s="380"/>
      <c r="E18" s="326" t="s">
        <v>41</v>
      </c>
      <c r="F18" s="326" t="s">
        <v>41</v>
      </c>
      <c r="G18" s="326" t="s">
        <v>41</v>
      </c>
      <c r="H18" s="326" t="s">
        <v>41</v>
      </c>
      <c r="I18" s="327" t="s">
        <v>41</v>
      </c>
      <c r="J18" s="327"/>
      <c r="K18" s="327" t="s">
        <v>41</v>
      </c>
      <c r="L18" s="327" t="s">
        <v>41</v>
      </c>
      <c r="M18" s="327" t="s">
        <v>41</v>
      </c>
      <c r="N18" s="327" t="s">
        <v>41</v>
      </c>
      <c r="O18" s="327" t="s">
        <v>41</v>
      </c>
      <c r="P18" s="327" t="s">
        <v>41</v>
      </c>
      <c r="Q18" s="327" t="s">
        <v>41</v>
      </c>
      <c r="R18" s="327" t="s">
        <v>41</v>
      </c>
      <c r="S18" s="327" t="s">
        <v>41</v>
      </c>
      <c r="T18" s="367" t="s">
        <v>41</v>
      </c>
      <c r="U18" s="368" t="s">
        <v>41</v>
      </c>
      <c r="V18" s="368" t="s">
        <v>41</v>
      </c>
      <c r="W18" s="369" t="s">
        <v>41</v>
      </c>
      <c r="X18" s="369"/>
      <c r="Y18" s="370" t="s">
        <v>41</v>
      </c>
      <c r="Z18" s="189" t="s">
        <v>41</v>
      </c>
      <c r="AA18" s="160" t="s">
        <v>41</v>
      </c>
      <c r="AB18" s="160" t="s">
        <v>41</v>
      </c>
      <c r="AC18" s="160" t="s">
        <v>41</v>
      </c>
      <c r="AD18" s="160" t="s">
        <v>41</v>
      </c>
      <c r="AE18" s="160" t="s">
        <v>41</v>
      </c>
      <c r="AF18" s="160" t="s">
        <v>41</v>
      </c>
    </row>
    <row r="19" spans="1:35" ht="13.5" hidden="1" thickTop="1" x14ac:dyDescent="0.2">
      <c r="A19" s="226" t="s">
        <v>5</v>
      </c>
      <c r="B19" s="85"/>
      <c r="C19" s="85"/>
      <c r="D19" s="380"/>
      <c r="E19" s="406">
        <v>0</v>
      </c>
      <c r="F19" s="406" t="e">
        <f>+F18*$D$53</f>
        <v>#VALUE!</v>
      </c>
      <c r="G19" s="406">
        <f>0</f>
        <v>0</v>
      </c>
      <c r="H19" s="406">
        <f>0</f>
        <v>0</v>
      </c>
      <c r="I19" s="406">
        <v>0</v>
      </c>
      <c r="J19" s="406"/>
      <c r="K19" s="406">
        <v>0</v>
      </c>
      <c r="L19" s="406">
        <v>2</v>
      </c>
      <c r="M19" s="406">
        <v>3</v>
      </c>
      <c r="N19" s="406">
        <v>4</v>
      </c>
      <c r="O19" s="406">
        <v>5</v>
      </c>
      <c r="P19" s="406">
        <v>6</v>
      </c>
      <c r="Q19" s="406">
        <v>7</v>
      </c>
      <c r="R19" s="406">
        <v>8</v>
      </c>
      <c r="S19" s="406">
        <v>9</v>
      </c>
      <c r="T19" s="193">
        <v>0</v>
      </c>
      <c r="U19" s="14">
        <v>0</v>
      </c>
      <c r="V19" s="14">
        <v>0</v>
      </c>
      <c r="W19" s="319">
        <v>0</v>
      </c>
      <c r="X19" s="319"/>
      <c r="Y19" s="157">
        <v>0</v>
      </c>
      <c r="Z19" s="184">
        <v>0</v>
      </c>
      <c r="AA19" s="150">
        <v>0</v>
      </c>
      <c r="AB19" s="150">
        <v>0</v>
      </c>
      <c r="AC19" s="150">
        <v>0</v>
      </c>
      <c r="AD19" s="150">
        <v>0</v>
      </c>
      <c r="AE19" s="150">
        <v>0</v>
      </c>
      <c r="AF19" s="150">
        <v>0</v>
      </c>
    </row>
    <row r="20" spans="1:35" ht="14.25" hidden="1" thickTop="1" thickBot="1" x14ac:dyDescent="0.25">
      <c r="A20" s="361" t="s">
        <v>6</v>
      </c>
      <c r="B20" s="409"/>
      <c r="C20" s="409"/>
      <c r="D20" s="410"/>
      <c r="E20" s="411">
        <f t="shared" ref="E20:R20" si="4">+E19*12</f>
        <v>0</v>
      </c>
      <c r="F20" s="411" t="e">
        <f t="shared" si="4"/>
        <v>#VALUE!</v>
      </c>
      <c r="G20" s="411">
        <f t="shared" si="4"/>
        <v>0</v>
      </c>
      <c r="H20" s="411">
        <f t="shared" si="4"/>
        <v>0</v>
      </c>
      <c r="I20" s="411">
        <f t="shared" si="4"/>
        <v>0</v>
      </c>
      <c r="J20" s="411"/>
      <c r="K20" s="411">
        <f t="shared" si="4"/>
        <v>0</v>
      </c>
      <c r="L20" s="412">
        <f t="shared" si="4"/>
        <v>24</v>
      </c>
      <c r="M20" s="413">
        <f t="shared" si="4"/>
        <v>36</v>
      </c>
      <c r="N20" s="411">
        <f t="shared" si="4"/>
        <v>48</v>
      </c>
      <c r="O20" s="411">
        <f t="shared" si="4"/>
        <v>60</v>
      </c>
      <c r="P20" s="411">
        <f t="shared" si="4"/>
        <v>72</v>
      </c>
      <c r="Q20" s="411">
        <f t="shared" si="4"/>
        <v>84</v>
      </c>
      <c r="R20" s="411">
        <f t="shared" si="4"/>
        <v>96</v>
      </c>
      <c r="S20" s="85"/>
      <c r="T20" s="199">
        <f t="shared" ref="T20:AF20" si="5">+T19*12</f>
        <v>0</v>
      </c>
      <c r="U20" s="176">
        <f t="shared" si="5"/>
        <v>0</v>
      </c>
      <c r="V20" s="176">
        <f t="shared" si="5"/>
        <v>0</v>
      </c>
      <c r="W20" s="338">
        <f t="shared" si="5"/>
        <v>0</v>
      </c>
      <c r="X20" s="338"/>
      <c r="Y20" s="224">
        <f t="shared" si="5"/>
        <v>0</v>
      </c>
      <c r="Z20" s="185">
        <f t="shared" si="5"/>
        <v>0</v>
      </c>
      <c r="AA20" s="152">
        <f t="shared" si="5"/>
        <v>0</v>
      </c>
      <c r="AB20" s="152">
        <f t="shared" si="5"/>
        <v>0</v>
      </c>
      <c r="AC20" s="152">
        <f t="shared" si="5"/>
        <v>0</v>
      </c>
      <c r="AD20" s="152">
        <f t="shared" si="5"/>
        <v>0</v>
      </c>
      <c r="AE20" s="152">
        <f t="shared" si="5"/>
        <v>0</v>
      </c>
      <c r="AF20" s="152">
        <f t="shared" si="5"/>
        <v>0</v>
      </c>
    </row>
    <row r="21" spans="1:35" ht="13.5" hidden="1" thickTop="1" x14ac:dyDescent="0.2">
      <c r="A21" s="226" t="s">
        <v>114</v>
      </c>
      <c r="B21" s="85"/>
      <c r="C21" s="85"/>
      <c r="D21" s="380"/>
      <c r="E21" s="406"/>
      <c r="F21" s="406"/>
      <c r="G21" s="407"/>
      <c r="H21" s="407"/>
      <c r="I21" s="414" t="e">
        <f>#REF!</f>
        <v>#REF!</v>
      </c>
      <c r="J21" s="414" t="e">
        <f>#REF!</f>
        <v>#REF!</v>
      </c>
      <c r="K21" s="414" t="e">
        <f>#REF!</f>
        <v>#REF!</v>
      </c>
      <c r="L21" s="414" t="e">
        <f>#REF!</f>
        <v>#REF!</v>
      </c>
      <c r="M21" s="414" t="e">
        <f>#REF!</f>
        <v>#REF!</v>
      </c>
      <c r="N21" s="414" t="e">
        <f>#REF!</f>
        <v>#REF!</v>
      </c>
      <c r="O21" s="414" t="e">
        <f>#REF!</f>
        <v>#REF!</v>
      </c>
      <c r="P21" s="414" t="e">
        <f>#REF!</f>
        <v>#REF!</v>
      </c>
      <c r="Q21" s="414" t="e">
        <f>#REF!</f>
        <v>#REF!</v>
      </c>
      <c r="R21" s="414" t="e">
        <f>#REF!</f>
        <v>#REF!</v>
      </c>
      <c r="S21" s="414" t="e">
        <f>#REF!</f>
        <v>#REF!</v>
      </c>
      <c r="T21" s="371" t="s">
        <v>34</v>
      </c>
      <c r="U21" s="372" t="s">
        <v>34</v>
      </c>
      <c r="V21" s="372" t="s">
        <v>34</v>
      </c>
      <c r="W21" s="373" t="s">
        <v>34</v>
      </c>
      <c r="X21" s="373"/>
      <c r="Y21" s="374" t="s">
        <v>34</v>
      </c>
      <c r="Z21" s="310" t="s">
        <v>34</v>
      </c>
      <c r="AA21" s="225" t="s">
        <v>34</v>
      </c>
      <c r="AB21" s="225" t="s">
        <v>34</v>
      </c>
      <c r="AC21" s="225" t="s">
        <v>34</v>
      </c>
      <c r="AD21" s="225" t="s">
        <v>34</v>
      </c>
      <c r="AE21" s="225" t="s">
        <v>34</v>
      </c>
      <c r="AF21" s="225" t="s">
        <v>34</v>
      </c>
    </row>
    <row r="22" spans="1:35" ht="13.5" hidden="1" thickTop="1" x14ac:dyDescent="0.2">
      <c r="A22" s="153" t="s">
        <v>8</v>
      </c>
      <c r="B22" s="51"/>
      <c r="C22" s="51"/>
      <c r="D22" s="52"/>
      <c r="E22" s="53"/>
      <c r="F22" s="53"/>
      <c r="G22" s="197"/>
      <c r="H22" s="197"/>
      <c r="I22" s="53"/>
      <c r="J22" s="53"/>
      <c r="K22" s="53"/>
      <c r="L22" s="186"/>
      <c r="M22" s="128"/>
      <c r="N22" s="53"/>
      <c r="O22" s="53"/>
      <c r="P22" s="53"/>
      <c r="Q22" s="53"/>
      <c r="R22" s="53"/>
      <c r="S22" s="85"/>
      <c r="T22" s="197"/>
      <c r="U22" s="53"/>
      <c r="V22" s="53"/>
      <c r="W22" s="51"/>
      <c r="X22" s="51"/>
      <c r="Y22" s="154"/>
      <c r="Z22" s="186"/>
      <c r="AA22" s="154"/>
      <c r="AB22" s="154"/>
      <c r="AC22" s="154"/>
      <c r="AD22" s="154"/>
      <c r="AE22" s="154"/>
      <c r="AF22" s="154"/>
    </row>
    <row r="23" spans="1:35" ht="13.5" hidden="1" thickTop="1" x14ac:dyDescent="0.2">
      <c r="A23" s="155" t="s">
        <v>9</v>
      </c>
      <c r="B23" s="11"/>
      <c r="C23" s="11"/>
      <c r="D23" s="12"/>
      <c r="E23" s="13">
        <v>569.79999999999995</v>
      </c>
      <c r="F23" s="13">
        <v>569.79999999999995</v>
      </c>
      <c r="G23" s="198">
        <v>757.98</v>
      </c>
      <c r="H23" s="198">
        <v>715</v>
      </c>
      <c r="I23" s="198">
        <v>1011.01</v>
      </c>
      <c r="J23" s="198">
        <v>962.28</v>
      </c>
      <c r="K23" s="13">
        <v>897.02</v>
      </c>
      <c r="L23" s="187">
        <v>713.05</v>
      </c>
      <c r="M23" s="129">
        <v>721.31</v>
      </c>
      <c r="N23" s="13">
        <v>674.74</v>
      </c>
      <c r="O23" s="13">
        <v>680.14</v>
      </c>
      <c r="P23" s="13">
        <v>941.28</v>
      </c>
      <c r="Q23" s="13">
        <v>713.05</v>
      </c>
      <c r="R23" s="13">
        <v>765.3</v>
      </c>
      <c r="S23" s="85"/>
      <c r="T23" s="318">
        <v>856</v>
      </c>
      <c r="U23" s="324">
        <f>'2016 Renewal'!F23</f>
        <v>1270.71</v>
      </c>
      <c r="V23" s="324" t="e">
        <f>'2016 Renewal'!#REF!</f>
        <v>#REF!</v>
      </c>
      <c r="W23" s="337">
        <v>1182.1199999999999</v>
      </c>
      <c r="X23" s="337"/>
      <c r="Y23" s="344">
        <f>Y70</f>
        <v>991.42779816513769</v>
      </c>
      <c r="Z23" s="187">
        <v>1187.78</v>
      </c>
      <c r="AA23" s="156">
        <v>1235.0899999999999</v>
      </c>
      <c r="AB23" s="156">
        <v>1188.3</v>
      </c>
      <c r="AC23" s="156">
        <v>1209.1600000000001</v>
      </c>
      <c r="AD23" s="156">
        <v>1252.69</v>
      </c>
      <c r="AE23" s="156">
        <v>1246.01</v>
      </c>
      <c r="AF23" s="156">
        <v>1201.8399999999999</v>
      </c>
    </row>
    <row r="24" spans="1:35" ht="13.5" hidden="1" thickTop="1" x14ac:dyDescent="0.2">
      <c r="A24" s="155" t="s">
        <v>10</v>
      </c>
      <c r="B24" s="11"/>
      <c r="C24" s="11"/>
      <c r="D24" s="12"/>
      <c r="E24" s="13">
        <v>0</v>
      </c>
      <c r="F24" s="13">
        <v>0</v>
      </c>
      <c r="G24" s="198">
        <v>0</v>
      </c>
      <c r="H24" s="198">
        <v>0</v>
      </c>
      <c r="I24" s="198">
        <v>0</v>
      </c>
      <c r="J24" s="198">
        <v>0</v>
      </c>
      <c r="K24" s="13">
        <v>0</v>
      </c>
      <c r="L24" s="187">
        <v>0</v>
      </c>
      <c r="M24" s="129">
        <v>0</v>
      </c>
      <c r="N24" s="13">
        <v>0</v>
      </c>
      <c r="O24" s="13">
        <v>0</v>
      </c>
      <c r="P24" s="13">
        <v>0</v>
      </c>
      <c r="Q24" s="13">
        <v>0</v>
      </c>
      <c r="R24" s="13">
        <v>0</v>
      </c>
      <c r="S24" s="85"/>
      <c r="T24" s="198">
        <v>0</v>
      </c>
      <c r="U24" s="13">
        <v>0</v>
      </c>
      <c r="V24" s="13">
        <v>0</v>
      </c>
      <c r="W24" s="337">
        <v>0</v>
      </c>
      <c r="X24" s="337"/>
      <c r="Y24" s="156">
        <v>0</v>
      </c>
      <c r="Z24" s="187">
        <v>0</v>
      </c>
      <c r="AA24" s="156">
        <v>0</v>
      </c>
      <c r="AB24" s="156">
        <v>0</v>
      </c>
      <c r="AC24" s="156">
        <v>0</v>
      </c>
      <c r="AD24" s="156">
        <v>0</v>
      </c>
      <c r="AE24" s="156">
        <v>0</v>
      </c>
      <c r="AF24" s="156">
        <v>0</v>
      </c>
    </row>
    <row r="25" spans="1:35" ht="13.5" hidden="1" thickTop="1" x14ac:dyDescent="0.2">
      <c r="A25" s="155" t="s">
        <v>11</v>
      </c>
      <c r="B25" s="11"/>
      <c r="C25" s="11"/>
      <c r="D25" s="177"/>
      <c r="E25" s="193" t="e">
        <f>+(E23*$D$53)+(E24*$C$53)</f>
        <v>#VALUE!</v>
      </c>
      <c r="F25" s="193" t="e">
        <f>+(F23*$D$53)+(F24*$C$53)</f>
        <v>#VALUE!</v>
      </c>
      <c r="G25" s="193" t="e">
        <f>+(G23*$D$53)+(G24*$C$53)</f>
        <v>#VALUE!</v>
      </c>
      <c r="H25" s="193">
        <f t="shared" ref="H25:S25" si="6">+(H23*$D$53)</f>
        <v>389675</v>
      </c>
      <c r="I25" s="193">
        <f t="shared" si="6"/>
        <v>551000.44999999995</v>
      </c>
      <c r="J25" s="193">
        <f t="shared" si="6"/>
        <v>524442.6</v>
      </c>
      <c r="K25" s="193">
        <f t="shared" si="6"/>
        <v>488875.89999999997</v>
      </c>
      <c r="L25" s="193">
        <f t="shared" si="6"/>
        <v>388612.25</v>
      </c>
      <c r="M25" s="193">
        <f t="shared" si="6"/>
        <v>393113.94999999995</v>
      </c>
      <c r="N25" s="193">
        <f t="shared" si="6"/>
        <v>367733.3</v>
      </c>
      <c r="O25" s="193">
        <f t="shared" si="6"/>
        <v>370676.3</v>
      </c>
      <c r="P25" s="193">
        <f t="shared" si="6"/>
        <v>512997.6</v>
      </c>
      <c r="Q25" s="193">
        <f t="shared" si="6"/>
        <v>388612.25</v>
      </c>
      <c r="R25" s="193">
        <f t="shared" si="6"/>
        <v>417088.5</v>
      </c>
      <c r="S25" s="193">
        <f t="shared" si="6"/>
        <v>0</v>
      </c>
      <c r="T25" s="193">
        <f>'2016 Renewal'!E25</f>
        <v>868106.7</v>
      </c>
      <c r="U25" s="14">
        <f>'2016 Renewal'!F25</f>
        <v>972093.15</v>
      </c>
      <c r="V25" s="14" t="e">
        <f>'2016 Renewal'!#REF!</f>
        <v>#REF!</v>
      </c>
      <c r="W25" s="319">
        <f>+(W23*$D$53)</f>
        <v>644255.39999999991</v>
      </c>
      <c r="X25" s="319"/>
      <c r="Y25" s="157">
        <f t="shared" ref="Y25:AF25" si="7">+(Y23*$D$53)</f>
        <v>540328.15</v>
      </c>
      <c r="Z25" s="172">
        <f t="shared" si="7"/>
        <v>647340.1</v>
      </c>
      <c r="AA25" s="157">
        <f t="shared" si="7"/>
        <v>673124.04999999993</v>
      </c>
      <c r="AB25" s="157">
        <f t="shared" si="7"/>
        <v>647623.5</v>
      </c>
      <c r="AC25" s="157">
        <f t="shared" si="7"/>
        <v>658992.20000000007</v>
      </c>
      <c r="AD25" s="157">
        <f t="shared" si="7"/>
        <v>682716.05</v>
      </c>
      <c r="AE25" s="157">
        <f t="shared" si="7"/>
        <v>679075.45</v>
      </c>
      <c r="AF25" s="157">
        <f t="shared" si="7"/>
        <v>655002.79999999993</v>
      </c>
    </row>
    <row r="26" spans="1:35" ht="14.25" thickTop="1" thickBot="1" x14ac:dyDescent="0.25">
      <c r="A26" s="1493" t="s">
        <v>154</v>
      </c>
      <c r="B26" s="1491"/>
      <c r="C26" s="1491"/>
      <c r="D26" s="1492"/>
      <c r="E26" s="176" t="e">
        <f t="shared" ref="E26:R26" si="8">+E25*12</f>
        <v>#VALUE!</v>
      </c>
      <c r="F26" s="176" t="e">
        <f t="shared" si="8"/>
        <v>#VALUE!</v>
      </c>
      <c r="G26" s="199" t="e">
        <f t="shared" si="8"/>
        <v>#VALUE!</v>
      </c>
      <c r="H26" s="199">
        <f t="shared" si="8"/>
        <v>4676100</v>
      </c>
      <c r="I26" s="199">
        <f t="shared" si="8"/>
        <v>6612005.3999999994</v>
      </c>
      <c r="J26" s="199">
        <f>+J25*12</f>
        <v>6293311.1999999993</v>
      </c>
      <c r="K26" s="176">
        <f t="shared" si="8"/>
        <v>5866510.7999999998</v>
      </c>
      <c r="L26" s="172">
        <f t="shared" si="8"/>
        <v>4663347</v>
      </c>
      <c r="M26" s="130">
        <f t="shared" si="8"/>
        <v>4717367.3999999994</v>
      </c>
      <c r="N26" s="14">
        <f t="shared" si="8"/>
        <v>4412799.5999999996</v>
      </c>
      <c r="O26" s="14">
        <f t="shared" si="8"/>
        <v>4448115.5999999996</v>
      </c>
      <c r="P26" s="14">
        <f t="shared" si="8"/>
        <v>6155971.1999999993</v>
      </c>
      <c r="Q26" s="14">
        <f t="shared" si="8"/>
        <v>4663347</v>
      </c>
      <c r="R26" s="14">
        <f t="shared" si="8"/>
        <v>5005062</v>
      </c>
      <c r="S26" s="85"/>
      <c r="T26" s="199">
        <f>T25*12</f>
        <v>10417280.399999999</v>
      </c>
      <c r="U26" s="176">
        <f>+U25*12</f>
        <v>11665117.800000001</v>
      </c>
      <c r="V26" s="176" t="e">
        <f>+V25*12</f>
        <v>#REF!</v>
      </c>
      <c r="W26" s="338">
        <f t="shared" ref="W26:AF26" si="9">+W25*12</f>
        <v>7731064.7999999989</v>
      </c>
      <c r="X26" s="338" t="e">
        <f>'2016 Renewal'!#REF!</f>
        <v>#REF!</v>
      </c>
      <c r="Y26" s="224">
        <f>+Y25*12</f>
        <v>6483937.8000000007</v>
      </c>
      <c r="Z26" s="311">
        <f t="shared" si="9"/>
        <v>7768081.1999999993</v>
      </c>
      <c r="AA26" s="224">
        <f t="shared" si="9"/>
        <v>8077488.5999999996</v>
      </c>
      <c r="AB26" s="224">
        <f t="shared" si="9"/>
        <v>7771482</v>
      </c>
      <c r="AC26" s="224">
        <f t="shared" si="9"/>
        <v>7907906.4000000004</v>
      </c>
      <c r="AD26" s="224">
        <f t="shared" si="9"/>
        <v>8192592.6000000006</v>
      </c>
      <c r="AE26" s="224">
        <f t="shared" si="9"/>
        <v>8148905.3999999994</v>
      </c>
      <c r="AF26" s="224">
        <f t="shared" si="9"/>
        <v>7860033.5999999996</v>
      </c>
    </row>
    <row r="27" spans="1:35" ht="13.5" hidden="1" thickTop="1" x14ac:dyDescent="0.2">
      <c r="A27" s="169" t="s">
        <v>149</v>
      </c>
      <c r="B27" s="11"/>
      <c r="C27" s="11"/>
      <c r="D27" s="12"/>
      <c r="E27" s="14" t="e">
        <f t="shared" ref="E27:K27" si="10">E26/1.25</f>
        <v>#VALUE!</v>
      </c>
      <c r="F27" s="14" t="e">
        <f t="shared" si="10"/>
        <v>#VALUE!</v>
      </c>
      <c r="G27" s="14" t="e">
        <f t="shared" si="10"/>
        <v>#VALUE!</v>
      </c>
      <c r="H27" s="14">
        <f t="shared" si="10"/>
        <v>3740880</v>
      </c>
      <c r="I27" s="14">
        <f t="shared" si="10"/>
        <v>5289604.3199999994</v>
      </c>
      <c r="J27" s="14">
        <f>J26/1.25</f>
        <v>5034648.959999999</v>
      </c>
      <c r="K27" s="14">
        <f t="shared" si="10"/>
        <v>4693208.6399999997</v>
      </c>
      <c r="L27" s="172"/>
      <c r="M27" s="130"/>
      <c r="N27" s="14"/>
      <c r="O27" s="14"/>
      <c r="P27" s="14"/>
      <c r="Q27" s="14"/>
      <c r="R27" s="14"/>
      <c r="S27" s="85"/>
      <c r="T27" s="193">
        <f>T26/1.25</f>
        <v>8333824.3199999984</v>
      </c>
      <c r="U27" s="14">
        <f>U26/1.25</f>
        <v>9332094.2400000002</v>
      </c>
      <c r="V27" s="14" t="e">
        <f>V26/1.25</f>
        <v>#REF!</v>
      </c>
      <c r="W27" s="319">
        <f t="shared" ref="W27:AF27" si="11">W26/1.25</f>
        <v>6184851.8399999989</v>
      </c>
      <c r="X27" s="319"/>
      <c r="Y27" s="157">
        <f>Y26/1.25</f>
        <v>5187150.24</v>
      </c>
      <c r="Z27" s="172">
        <f t="shared" si="11"/>
        <v>6214464.959999999</v>
      </c>
      <c r="AA27" s="157">
        <f t="shared" si="11"/>
        <v>6461990.8799999999</v>
      </c>
      <c r="AB27" s="157">
        <f t="shared" si="11"/>
        <v>6217185.5999999996</v>
      </c>
      <c r="AC27" s="157">
        <f t="shared" si="11"/>
        <v>6326325.1200000001</v>
      </c>
      <c r="AD27" s="157">
        <f t="shared" si="11"/>
        <v>6554074.0800000001</v>
      </c>
      <c r="AE27" s="157">
        <f t="shared" si="11"/>
        <v>6519124.3199999994</v>
      </c>
      <c r="AF27" s="157">
        <f t="shared" si="11"/>
        <v>6288026.8799999999</v>
      </c>
      <c r="AH27" s="36">
        <f>32.48+AF13</f>
        <v>107.99000000000001</v>
      </c>
      <c r="AI27" s="36">
        <f>36.35+AF13</f>
        <v>111.86000000000001</v>
      </c>
    </row>
    <row r="28" spans="1:35" ht="13.5" hidden="1" thickTop="1" x14ac:dyDescent="0.2">
      <c r="A28" s="169" t="s">
        <v>117</v>
      </c>
      <c r="B28" s="11"/>
      <c r="C28" s="11"/>
      <c r="D28" s="12"/>
      <c r="E28" s="14"/>
      <c r="F28" s="14"/>
      <c r="G28" s="14"/>
      <c r="H28" s="14"/>
      <c r="I28" s="14"/>
      <c r="J28" s="14"/>
      <c r="K28" s="14"/>
      <c r="L28" s="172"/>
      <c r="M28" s="130"/>
      <c r="N28" s="14"/>
      <c r="O28" s="14"/>
      <c r="P28" s="14"/>
      <c r="Q28" s="14"/>
      <c r="R28" s="14"/>
      <c r="S28" s="85"/>
      <c r="T28" s="302" t="s">
        <v>34</v>
      </c>
      <c r="U28" s="14">
        <v>4908989</v>
      </c>
      <c r="V28" s="14">
        <v>4908989</v>
      </c>
      <c r="W28" s="319">
        <v>4908989</v>
      </c>
      <c r="X28" s="319"/>
      <c r="Y28" s="157">
        <v>4908989</v>
      </c>
      <c r="Z28" s="172">
        <v>4908989</v>
      </c>
      <c r="AA28" s="157">
        <v>4908989</v>
      </c>
      <c r="AB28" s="157">
        <v>4908989</v>
      </c>
      <c r="AC28" s="157">
        <v>4908989</v>
      </c>
      <c r="AD28" s="157">
        <v>4908989</v>
      </c>
      <c r="AE28" s="157">
        <v>4908989</v>
      </c>
      <c r="AF28" s="157">
        <v>4908989</v>
      </c>
      <c r="AH28" s="36"/>
      <c r="AI28" s="36"/>
    </row>
    <row r="29" spans="1:35" ht="14.25" hidden="1" thickTop="1" thickBot="1" x14ac:dyDescent="0.25">
      <c r="A29" s="158" t="s">
        <v>155</v>
      </c>
      <c r="B29" s="15"/>
      <c r="C29" s="15"/>
      <c r="D29" s="16"/>
      <c r="E29" s="17"/>
      <c r="F29" s="17"/>
      <c r="G29" s="17"/>
      <c r="H29" s="17"/>
      <c r="I29" s="17"/>
      <c r="J29" s="17"/>
      <c r="K29" s="17"/>
      <c r="L29" s="188"/>
      <c r="M29" s="131"/>
      <c r="N29" s="17"/>
      <c r="O29" s="17"/>
      <c r="P29" s="17"/>
      <c r="Q29" s="17"/>
      <c r="R29" s="17"/>
      <c r="S29" s="85"/>
      <c r="T29" s="303"/>
      <c r="U29" s="325"/>
      <c r="V29" s="350"/>
      <c r="W29" s="339"/>
      <c r="X29" s="339"/>
      <c r="Y29" s="288"/>
      <c r="Z29" s="360">
        <f>Y29/T26</f>
        <v>0</v>
      </c>
      <c r="AA29" s="159"/>
      <c r="AB29" s="159"/>
      <c r="AC29" s="159"/>
      <c r="AD29" s="159"/>
      <c r="AE29" s="159"/>
      <c r="AF29" s="159"/>
    </row>
    <row r="30" spans="1:35" s="80" customFormat="1" ht="13.5" hidden="1" thickTop="1" x14ac:dyDescent="0.2">
      <c r="A30" s="226" t="s">
        <v>72</v>
      </c>
      <c r="B30" s="85"/>
      <c r="C30" s="85"/>
      <c r="D30" s="380"/>
      <c r="E30" s="396">
        <v>38.04</v>
      </c>
      <c r="F30" s="396">
        <v>38.04</v>
      </c>
      <c r="G30" s="396">
        <v>39.18</v>
      </c>
      <c r="H30" s="396">
        <v>39.18</v>
      </c>
      <c r="I30" s="396">
        <v>35</v>
      </c>
      <c r="J30" s="396">
        <v>35</v>
      </c>
      <c r="K30" s="396">
        <v>35.299999999999997</v>
      </c>
      <c r="L30" s="396">
        <v>39.18</v>
      </c>
      <c r="M30" s="396">
        <v>39.18</v>
      </c>
      <c r="N30" s="396">
        <v>39.18</v>
      </c>
      <c r="O30" s="396">
        <v>39.18</v>
      </c>
      <c r="P30" s="396">
        <v>39.18</v>
      </c>
      <c r="Q30" s="396">
        <v>39.18</v>
      </c>
      <c r="R30" s="396">
        <v>39.18</v>
      </c>
      <c r="S30" s="396">
        <v>39.18</v>
      </c>
      <c r="T30" s="375">
        <f>19.63+0.34</f>
        <v>19.97</v>
      </c>
      <c r="U30" s="376">
        <f>20.22+0.34</f>
        <v>20.56</v>
      </c>
      <c r="V30" s="376">
        <f>20.22+0.34</f>
        <v>20.56</v>
      </c>
      <c r="W30" s="377">
        <v>20.56</v>
      </c>
      <c r="X30" s="377"/>
      <c r="Y30" s="378">
        <f>20.22+0.34</f>
        <v>20.56</v>
      </c>
      <c r="Z30" s="312">
        <f>20.56+1.5</f>
        <v>22.06</v>
      </c>
      <c r="AA30" s="316">
        <f>20.56+1.5</f>
        <v>22.06</v>
      </c>
      <c r="AB30" s="316">
        <f>20.56+1.5</f>
        <v>22.06</v>
      </c>
      <c r="AC30" s="230">
        <v>20.56</v>
      </c>
      <c r="AD30" s="230">
        <v>20.56</v>
      </c>
      <c r="AE30" s="230">
        <v>20.56</v>
      </c>
      <c r="AF30" s="230">
        <v>20.56</v>
      </c>
    </row>
    <row r="31" spans="1:35" ht="13.5" hidden="1" thickTop="1" x14ac:dyDescent="0.2">
      <c r="A31" s="226" t="s">
        <v>143</v>
      </c>
      <c r="B31" s="85"/>
      <c r="C31" s="85"/>
      <c r="D31" s="380"/>
      <c r="E31" s="327" t="s">
        <v>41</v>
      </c>
      <c r="F31" s="327" t="s">
        <v>41</v>
      </c>
      <c r="G31" s="327" t="s">
        <v>41</v>
      </c>
      <c r="H31" s="327" t="s">
        <v>41</v>
      </c>
      <c r="I31" s="327" t="s">
        <v>41</v>
      </c>
      <c r="J31" s="327" t="s">
        <v>41</v>
      </c>
      <c r="K31" s="327" t="s">
        <v>41</v>
      </c>
      <c r="L31" s="289" t="s">
        <v>41</v>
      </c>
      <c r="M31" s="415" t="s">
        <v>41</v>
      </c>
      <c r="N31" s="327" t="s">
        <v>41</v>
      </c>
      <c r="O31" s="327" t="s">
        <v>41</v>
      </c>
      <c r="P31" s="327" t="s">
        <v>41</v>
      </c>
      <c r="Q31" s="327" t="s">
        <v>41</v>
      </c>
      <c r="R31" s="327" t="s">
        <v>41</v>
      </c>
      <c r="S31" s="85"/>
      <c r="T31" s="367">
        <v>16.38</v>
      </c>
      <c r="U31" s="368">
        <v>16.87</v>
      </c>
      <c r="V31" s="368">
        <v>16.87</v>
      </c>
      <c r="W31" s="369">
        <v>16.87</v>
      </c>
      <c r="X31" s="369"/>
      <c r="Y31" s="370">
        <v>16.87</v>
      </c>
      <c r="Z31" s="289">
        <v>16.87</v>
      </c>
      <c r="AA31" s="237">
        <v>16.87</v>
      </c>
      <c r="AB31" s="237">
        <v>16.87</v>
      </c>
      <c r="AC31" s="237" t="s">
        <v>128</v>
      </c>
      <c r="AD31" s="237" t="s">
        <v>128</v>
      </c>
      <c r="AE31" s="237" t="s">
        <v>128</v>
      </c>
      <c r="AF31" s="237" t="s">
        <v>128</v>
      </c>
    </row>
    <row r="32" spans="1:35" ht="13.5" hidden="1" thickTop="1" x14ac:dyDescent="0.2">
      <c r="A32" s="226" t="s">
        <v>144</v>
      </c>
      <c r="B32" s="85"/>
      <c r="C32" s="85"/>
      <c r="D32" s="416"/>
      <c r="E32" s="290"/>
      <c r="F32" s="290"/>
      <c r="G32" s="290"/>
      <c r="H32" s="290"/>
      <c r="I32" s="290"/>
      <c r="J32" s="290"/>
      <c r="K32" s="290"/>
      <c r="L32" s="290"/>
      <c r="M32" s="290"/>
      <c r="N32" s="290"/>
      <c r="O32" s="290"/>
      <c r="P32" s="290"/>
      <c r="Q32" s="290"/>
      <c r="R32" s="290"/>
      <c r="S32" s="85"/>
      <c r="T32" s="367">
        <v>12.51</v>
      </c>
      <c r="U32" s="368">
        <v>12.89</v>
      </c>
      <c r="V32" s="368">
        <v>12.89</v>
      </c>
      <c r="W32" s="369">
        <v>12.89</v>
      </c>
      <c r="X32" s="369"/>
      <c r="Y32" s="370">
        <v>12.89</v>
      </c>
      <c r="Z32" s="289">
        <v>12.89</v>
      </c>
      <c r="AA32" s="237">
        <v>12.89</v>
      </c>
      <c r="AB32" s="237">
        <v>12.89</v>
      </c>
      <c r="AC32" s="237"/>
      <c r="AD32" s="237"/>
      <c r="AE32" s="237"/>
      <c r="AF32" s="237"/>
    </row>
    <row r="33" spans="1:32" ht="13.5" hidden="1" thickTop="1" x14ac:dyDescent="0.2">
      <c r="A33" s="226" t="s">
        <v>83</v>
      </c>
      <c r="B33" s="85"/>
      <c r="C33" s="85"/>
      <c r="D33" s="416"/>
      <c r="E33" s="290" t="s">
        <v>41</v>
      </c>
      <c r="F33" s="290" t="s">
        <v>41</v>
      </c>
      <c r="G33" s="290" t="s">
        <v>41</v>
      </c>
      <c r="H33" s="290" t="s">
        <v>41</v>
      </c>
      <c r="I33" s="290" t="s">
        <v>41</v>
      </c>
      <c r="J33" s="290" t="s">
        <v>41</v>
      </c>
      <c r="K33" s="290" t="s">
        <v>41</v>
      </c>
      <c r="L33" s="290" t="s">
        <v>41</v>
      </c>
      <c r="M33" s="290" t="s">
        <v>41</v>
      </c>
      <c r="N33" s="290" t="s">
        <v>41</v>
      </c>
      <c r="O33" s="290" t="s">
        <v>41</v>
      </c>
      <c r="P33" s="290" t="s">
        <v>41</v>
      </c>
      <c r="Q33" s="290" t="s">
        <v>41</v>
      </c>
      <c r="R33" s="290" t="s">
        <v>41</v>
      </c>
      <c r="S33" s="85"/>
      <c r="T33" s="367" t="s">
        <v>41</v>
      </c>
      <c r="U33" s="368" t="s">
        <v>41</v>
      </c>
      <c r="V33" s="368" t="s">
        <v>41</v>
      </c>
      <c r="W33" s="369" t="s">
        <v>41</v>
      </c>
      <c r="X33" s="369"/>
      <c r="Y33" s="370" t="s">
        <v>41</v>
      </c>
      <c r="Z33" s="189" t="s">
        <v>41</v>
      </c>
      <c r="AA33" s="160" t="s">
        <v>41</v>
      </c>
      <c r="AB33" s="160" t="s">
        <v>41</v>
      </c>
      <c r="AC33" s="160" t="s">
        <v>41</v>
      </c>
      <c r="AD33" s="160" t="s">
        <v>41</v>
      </c>
      <c r="AE33" s="160" t="s">
        <v>41</v>
      </c>
      <c r="AF33" s="160" t="s">
        <v>41</v>
      </c>
    </row>
    <row r="34" spans="1:32" ht="13.5" hidden="1" thickTop="1" x14ac:dyDescent="0.2">
      <c r="A34" s="226" t="s">
        <v>42</v>
      </c>
      <c r="B34" s="85"/>
      <c r="C34" s="85"/>
      <c r="D34" s="416"/>
      <c r="E34" s="290" t="s">
        <v>41</v>
      </c>
      <c r="F34" s="290" t="s">
        <v>41</v>
      </c>
      <c r="G34" s="290" t="s">
        <v>41</v>
      </c>
      <c r="H34" s="290" t="s">
        <v>41</v>
      </c>
      <c r="I34" s="290" t="s">
        <v>41</v>
      </c>
      <c r="J34" s="290" t="s">
        <v>41</v>
      </c>
      <c r="K34" s="290" t="s">
        <v>41</v>
      </c>
      <c r="L34" s="290" t="s">
        <v>41</v>
      </c>
      <c r="M34" s="290" t="s">
        <v>41</v>
      </c>
      <c r="N34" s="290" t="s">
        <v>41</v>
      </c>
      <c r="O34" s="290" t="s">
        <v>41</v>
      </c>
      <c r="P34" s="290" t="s">
        <v>41</v>
      </c>
      <c r="Q34" s="290" t="s">
        <v>41</v>
      </c>
      <c r="R34" s="290" t="s">
        <v>41</v>
      </c>
      <c r="S34" s="85"/>
      <c r="T34" s="367" t="s">
        <v>41</v>
      </c>
      <c r="U34" s="368" t="s">
        <v>41</v>
      </c>
      <c r="V34" s="368" t="s">
        <v>41</v>
      </c>
      <c r="W34" s="369" t="s">
        <v>41</v>
      </c>
      <c r="X34" s="369"/>
      <c r="Y34" s="370" t="s">
        <v>41</v>
      </c>
      <c r="Z34" s="189" t="s">
        <v>41</v>
      </c>
      <c r="AA34" s="160" t="s">
        <v>41</v>
      </c>
      <c r="AB34" s="160" t="s">
        <v>41</v>
      </c>
      <c r="AC34" s="160" t="s">
        <v>41</v>
      </c>
      <c r="AD34" s="160" t="s">
        <v>41</v>
      </c>
      <c r="AE34" s="160" t="s">
        <v>41</v>
      </c>
      <c r="AF34" s="160" t="s">
        <v>41</v>
      </c>
    </row>
    <row r="35" spans="1:32" ht="13.5" hidden="1" thickTop="1" x14ac:dyDescent="0.2">
      <c r="A35" s="226" t="s">
        <v>84</v>
      </c>
      <c r="B35" s="85"/>
      <c r="C35" s="85"/>
      <c r="D35" s="416"/>
      <c r="E35" s="290" t="s">
        <v>41</v>
      </c>
      <c r="F35" s="290" t="s">
        <v>41</v>
      </c>
      <c r="G35" s="290" t="s">
        <v>41</v>
      </c>
      <c r="H35" s="290" t="s">
        <v>41</v>
      </c>
      <c r="I35" s="290" t="s">
        <v>41</v>
      </c>
      <c r="J35" s="290" t="s">
        <v>41</v>
      </c>
      <c r="K35" s="290" t="s">
        <v>41</v>
      </c>
      <c r="L35" s="290" t="s">
        <v>41</v>
      </c>
      <c r="M35" s="290" t="s">
        <v>41</v>
      </c>
      <c r="N35" s="290" t="s">
        <v>41</v>
      </c>
      <c r="O35" s="290" t="s">
        <v>41</v>
      </c>
      <c r="P35" s="290" t="s">
        <v>41</v>
      </c>
      <c r="Q35" s="290" t="s">
        <v>41</v>
      </c>
      <c r="R35" s="290" t="s">
        <v>41</v>
      </c>
      <c r="S35" s="85"/>
      <c r="T35" s="367" t="s">
        <v>41</v>
      </c>
      <c r="U35" s="368" t="s">
        <v>41</v>
      </c>
      <c r="V35" s="368" t="s">
        <v>41</v>
      </c>
      <c r="W35" s="369" t="s">
        <v>41</v>
      </c>
      <c r="X35" s="369"/>
      <c r="Y35" s="370" t="s">
        <v>41</v>
      </c>
      <c r="Z35" s="189" t="s">
        <v>41</v>
      </c>
      <c r="AA35" s="160" t="s">
        <v>41</v>
      </c>
      <c r="AB35" s="160" t="s">
        <v>41</v>
      </c>
      <c r="AC35" s="160" t="s">
        <v>41</v>
      </c>
      <c r="AD35" s="160" t="s">
        <v>41</v>
      </c>
      <c r="AE35" s="160" t="s">
        <v>41</v>
      </c>
      <c r="AF35" s="160" t="s">
        <v>41</v>
      </c>
    </row>
    <row r="36" spans="1:32" ht="13.5" hidden="1" thickTop="1" x14ac:dyDescent="0.2">
      <c r="A36" s="226" t="s">
        <v>17</v>
      </c>
      <c r="B36" s="85"/>
      <c r="C36" s="85"/>
      <c r="D36" s="416"/>
      <c r="E36" s="290" t="s">
        <v>41</v>
      </c>
      <c r="F36" s="290" t="s">
        <v>41</v>
      </c>
      <c r="G36" s="290" t="s">
        <v>41</v>
      </c>
      <c r="H36" s="290" t="s">
        <v>41</v>
      </c>
      <c r="I36" s="290" t="s">
        <v>41</v>
      </c>
      <c r="J36" s="290" t="s">
        <v>41</v>
      </c>
      <c r="K36" s="290" t="s">
        <v>41</v>
      </c>
      <c r="L36" s="290" t="s">
        <v>41</v>
      </c>
      <c r="M36" s="290" t="s">
        <v>41</v>
      </c>
      <c r="N36" s="290" t="s">
        <v>41</v>
      </c>
      <c r="O36" s="290" t="s">
        <v>41</v>
      </c>
      <c r="P36" s="290" t="s">
        <v>41</v>
      </c>
      <c r="Q36" s="290" t="s">
        <v>41</v>
      </c>
      <c r="R36" s="290" t="s">
        <v>41</v>
      </c>
      <c r="S36" s="290" t="s">
        <v>41</v>
      </c>
      <c r="T36" s="367" t="s">
        <v>41</v>
      </c>
      <c r="U36" s="368" t="s">
        <v>41</v>
      </c>
      <c r="V36" s="368" t="s">
        <v>41</v>
      </c>
      <c r="W36" s="369" t="s">
        <v>41</v>
      </c>
      <c r="X36" s="369"/>
      <c r="Y36" s="370" t="s">
        <v>41</v>
      </c>
      <c r="Z36" s="189" t="s">
        <v>41</v>
      </c>
      <c r="AA36" s="160" t="s">
        <v>41</v>
      </c>
      <c r="AB36" s="160" t="s">
        <v>41</v>
      </c>
      <c r="AC36" s="160" t="s">
        <v>41</v>
      </c>
      <c r="AD36" s="160" t="s">
        <v>41</v>
      </c>
      <c r="AE36" s="160" t="s">
        <v>41</v>
      </c>
      <c r="AF36" s="160" t="s">
        <v>41</v>
      </c>
    </row>
    <row r="37" spans="1:32" ht="13.5" hidden="1" thickTop="1" x14ac:dyDescent="0.2">
      <c r="A37" s="226" t="s">
        <v>18</v>
      </c>
      <c r="B37" s="85"/>
      <c r="C37" s="85"/>
      <c r="D37" s="416"/>
      <c r="E37" s="290" t="s">
        <v>41</v>
      </c>
      <c r="F37" s="290" t="s">
        <v>41</v>
      </c>
      <c r="G37" s="290" t="s">
        <v>41</v>
      </c>
      <c r="H37" s="290" t="s">
        <v>41</v>
      </c>
      <c r="I37" s="290" t="s">
        <v>41</v>
      </c>
      <c r="J37" s="290" t="s">
        <v>41</v>
      </c>
      <c r="K37" s="290" t="s">
        <v>41</v>
      </c>
      <c r="L37" s="290" t="s">
        <v>41</v>
      </c>
      <c r="M37" s="290" t="s">
        <v>41</v>
      </c>
      <c r="N37" s="290" t="s">
        <v>41</v>
      </c>
      <c r="O37" s="290" t="s">
        <v>41</v>
      </c>
      <c r="P37" s="290" t="s">
        <v>41</v>
      </c>
      <c r="Q37" s="290" t="s">
        <v>41</v>
      </c>
      <c r="R37" s="290" t="s">
        <v>41</v>
      </c>
      <c r="S37" s="290" t="s">
        <v>41</v>
      </c>
      <c r="T37" s="367" t="s">
        <v>41</v>
      </c>
      <c r="U37" s="368" t="s">
        <v>41</v>
      </c>
      <c r="V37" s="368" t="s">
        <v>41</v>
      </c>
      <c r="W37" s="369" t="s">
        <v>41</v>
      </c>
      <c r="X37" s="369"/>
      <c r="Y37" s="370" t="s">
        <v>41</v>
      </c>
      <c r="Z37" s="189" t="s">
        <v>41</v>
      </c>
      <c r="AA37" s="160" t="s">
        <v>41</v>
      </c>
      <c r="AB37" s="160" t="s">
        <v>41</v>
      </c>
      <c r="AC37" s="160" t="s">
        <v>41</v>
      </c>
      <c r="AD37" s="160" t="s">
        <v>41</v>
      </c>
      <c r="AE37" s="160" t="s">
        <v>41</v>
      </c>
      <c r="AF37" s="160" t="s">
        <v>41</v>
      </c>
    </row>
    <row r="38" spans="1:32" ht="13.5" hidden="1" thickTop="1" x14ac:dyDescent="0.2">
      <c r="A38" s="226" t="s">
        <v>129</v>
      </c>
      <c r="B38" s="85"/>
      <c r="C38" s="85"/>
      <c r="D38" s="416"/>
      <c r="E38" s="290"/>
      <c r="F38" s="290"/>
      <c r="G38" s="290"/>
      <c r="H38" s="290"/>
      <c r="I38" s="290"/>
      <c r="J38" s="290"/>
      <c r="K38" s="290"/>
      <c r="L38" s="290"/>
      <c r="M38" s="290"/>
      <c r="N38" s="290"/>
      <c r="O38" s="290"/>
      <c r="P38" s="290"/>
      <c r="Q38" s="290"/>
      <c r="R38" s="290"/>
      <c r="S38" s="290"/>
      <c r="T38" s="367">
        <v>5.94</v>
      </c>
      <c r="U38" s="368">
        <v>5.94</v>
      </c>
      <c r="V38" s="368">
        <v>5.94</v>
      </c>
      <c r="W38" s="369">
        <v>71.28</v>
      </c>
      <c r="X38" s="369"/>
      <c r="Y38" s="370">
        <v>5.94</v>
      </c>
      <c r="Z38" s="189">
        <f>V38</f>
        <v>5.94</v>
      </c>
      <c r="AA38" s="160">
        <v>71.28</v>
      </c>
      <c r="AB38" s="160">
        <f>Z38</f>
        <v>5.94</v>
      </c>
      <c r="AC38" s="160">
        <v>71.28</v>
      </c>
      <c r="AD38" s="160">
        <v>71.28</v>
      </c>
      <c r="AE38" s="160">
        <v>71.28</v>
      </c>
      <c r="AF38" s="160">
        <v>71.28</v>
      </c>
    </row>
    <row r="39" spans="1:32" ht="13.5" hidden="1" thickTop="1" x14ac:dyDescent="0.2">
      <c r="A39" s="226" t="s">
        <v>5</v>
      </c>
      <c r="B39" s="85"/>
      <c r="C39" s="85"/>
      <c r="D39" s="380"/>
      <c r="E39" s="406">
        <f t="shared" ref="E39:R39" si="12">+((E30)*$D$53)</f>
        <v>20731.8</v>
      </c>
      <c r="F39" s="406">
        <f t="shared" si="12"/>
        <v>20731.8</v>
      </c>
      <c r="G39" s="406">
        <f t="shared" si="12"/>
        <v>21353.1</v>
      </c>
      <c r="H39" s="406">
        <f t="shared" si="12"/>
        <v>21353.1</v>
      </c>
      <c r="I39" s="406">
        <f t="shared" si="12"/>
        <v>19075</v>
      </c>
      <c r="J39" s="406">
        <f t="shared" si="12"/>
        <v>19075</v>
      </c>
      <c r="K39" s="406">
        <f t="shared" si="12"/>
        <v>19238.5</v>
      </c>
      <c r="L39" s="417">
        <f t="shared" si="12"/>
        <v>21353.1</v>
      </c>
      <c r="M39" s="418">
        <f t="shared" si="12"/>
        <v>21353.1</v>
      </c>
      <c r="N39" s="406">
        <f t="shared" si="12"/>
        <v>21353.1</v>
      </c>
      <c r="O39" s="406">
        <f t="shared" si="12"/>
        <v>21353.1</v>
      </c>
      <c r="P39" s="406">
        <f t="shared" si="12"/>
        <v>21353.1</v>
      </c>
      <c r="Q39" s="406">
        <f t="shared" si="12"/>
        <v>21353.1</v>
      </c>
      <c r="R39" s="406">
        <f t="shared" si="12"/>
        <v>21353.1</v>
      </c>
      <c r="S39" s="85"/>
      <c r="T39" s="193">
        <f>'2016 Renewal'!E42</f>
        <v>29623.350000000009</v>
      </c>
      <c r="U39" s="14">
        <f>'2016 Renewal'!F42</f>
        <v>29623.350000000009</v>
      </c>
      <c r="V39" s="14" t="e">
        <f>'2016 Renewal'!#REF!</f>
        <v>#REF!</v>
      </c>
      <c r="W39" s="319">
        <f>(W30*$D53)+(W31*(E55+E57)+(W32*E54)+(W38*E57))</f>
        <v>11205.199999999999</v>
      </c>
      <c r="X39" s="319"/>
      <c r="Y39" s="157">
        <f>(Y30*$D53)+(Y32*(D54+D56))+(Y31*D57)+(Y38*D57)</f>
        <v>18359.210000000003</v>
      </c>
      <c r="Z39" s="184">
        <f>(Z30*$D53)+(Z31*(D55+D57)+(Z32*D54)+(Z38*D57))</f>
        <v>13015.289999999999</v>
      </c>
      <c r="AA39" s="317">
        <f>(AA30*$D53)+(AA31*(E55+E57)+(AA32*E54)+(AA38*E57))</f>
        <v>12022.699999999999</v>
      </c>
      <c r="AB39" s="317">
        <f>(AB30*$D53)+(AB31*(D55+D57)+(AB32*D54)+(AB38*D57))</f>
        <v>13015.289999999999</v>
      </c>
      <c r="AC39" s="150">
        <f>(AC30*$D53)+(16.87*197)+(12.89*351)+(AC38)+(5.75*144)</f>
        <v>19952.259999999998</v>
      </c>
      <c r="AD39" s="150">
        <f>(AD30*$D53)+(16.87*197)+(12.89*351)+(AD38)+(5.75*144)</f>
        <v>19952.259999999998</v>
      </c>
      <c r="AE39" s="150">
        <f>(AE30*$D53)+(16.87*197)+(12.89*351)+(AE38)+(5.75*144)</f>
        <v>19952.259999999998</v>
      </c>
      <c r="AF39" s="150">
        <f>(AF30*$D53)+(16.87*197)+(12.89*351)+(AF38)+(5.75*144)</f>
        <v>19952.259999999998</v>
      </c>
    </row>
    <row r="40" spans="1:32" ht="14.25" thickTop="1" thickBot="1" x14ac:dyDescent="0.25">
      <c r="A40" s="1490" t="s">
        <v>157</v>
      </c>
      <c r="B40" s="1491"/>
      <c r="C40" s="1491"/>
      <c r="D40" s="1492"/>
      <c r="E40" s="411">
        <f t="shared" ref="E40:R40" si="13">+E39*12</f>
        <v>248781.59999999998</v>
      </c>
      <c r="F40" s="411">
        <f t="shared" si="13"/>
        <v>248781.59999999998</v>
      </c>
      <c r="G40" s="411">
        <f t="shared" si="13"/>
        <v>256237.19999999998</v>
      </c>
      <c r="H40" s="411">
        <f t="shared" si="13"/>
        <v>256237.19999999998</v>
      </c>
      <c r="I40" s="411">
        <f t="shared" si="13"/>
        <v>228900</v>
      </c>
      <c r="J40" s="411">
        <f>+J39*12</f>
        <v>228900</v>
      </c>
      <c r="K40" s="411">
        <f t="shared" si="13"/>
        <v>230862</v>
      </c>
      <c r="L40" s="417">
        <f t="shared" si="13"/>
        <v>256237.19999999998</v>
      </c>
      <c r="M40" s="418">
        <f t="shared" si="13"/>
        <v>256237.19999999998</v>
      </c>
      <c r="N40" s="406">
        <f t="shared" si="13"/>
        <v>256237.19999999998</v>
      </c>
      <c r="O40" s="406">
        <f t="shared" si="13"/>
        <v>256237.19999999998</v>
      </c>
      <c r="P40" s="406">
        <f t="shared" si="13"/>
        <v>256237.19999999998</v>
      </c>
      <c r="Q40" s="406">
        <f t="shared" si="13"/>
        <v>256237.19999999998</v>
      </c>
      <c r="R40" s="406">
        <f t="shared" si="13"/>
        <v>256237.19999999998</v>
      </c>
      <c r="S40" s="85"/>
      <c r="T40" s="199">
        <f>+T39*12</f>
        <v>355480.20000000013</v>
      </c>
      <c r="U40" s="176">
        <f>+U39*12</f>
        <v>355480.20000000013</v>
      </c>
      <c r="V40" s="176" t="e">
        <f>+V39*12</f>
        <v>#REF!</v>
      </c>
      <c r="W40" s="338">
        <f t="shared" ref="W40:AF40" si="14">+W39*12</f>
        <v>134462.39999999999</v>
      </c>
      <c r="X40" s="338" t="e">
        <f>'2016 Renewal'!#REF!</f>
        <v>#REF!</v>
      </c>
      <c r="Y40" s="224">
        <f>+Y39*12</f>
        <v>220310.52000000002</v>
      </c>
      <c r="Z40" s="185">
        <f>+Z39*12</f>
        <v>156183.47999999998</v>
      </c>
      <c r="AA40" s="152">
        <f t="shared" si="14"/>
        <v>144272.4</v>
      </c>
      <c r="AB40" s="152">
        <f t="shared" si="14"/>
        <v>156183.47999999998</v>
      </c>
      <c r="AC40" s="152">
        <f t="shared" si="14"/>
        <v>239427.12</v>
      </c>
      <c r="AD40" s="152">
        <f t="shared" si="14"/>
        <v>239427.12</v>
      </c>
      <c r="AE40" s="152">
        <f t="shared" si="14"/>
        <v>239427.12</v>
      </c>
      <c r="AF40" s="152">
        <f t="shared" si="14"/>
        <v>239427.12</v>
      </c>
    </row>
    <row r="41" spans="1:32" ht="13.5" hidden="1" thickTop="1" x14ac:dyDescent="0.2">
      <c r="A41" s="228" t="s">
        <v>13</v>
      </c>
      <c r="B41" s="85"/>
      <c r="C41" s="85"/>
      <c r="D41" s="380"/>
      <c r="E41" s="406" t="e">
        <f t="shared" ref="E41:R41" si="15">+E16+E19+E39</f>
        <v>#VALUE!</v>
      </c>
      <c r="F41" s="406" t="e">
        <f t="shared" si="15"/>
        <v>#VALUE!</v>
      </c>
      <c r="G41" s="406" t="e">
        <f t="shared" si="15"/>
        <v>#VALUE!</v>
      </c>
      <c r="H41" s="406">
        <f t="shared" si="15"/>
        <v>74648.649999999994</v>
      </c>
      <c r="I41" s="406">
        <f t="shared" si="15"/>
        <v>70833.649999999994</v>
      </c>
      <c r="J41" s="406">
        <f>+J16+J19+J39</f>
        <v>70948.100000000006</v>
      </c>
      <c r="K41" s="406">
        <f t="shared" si="15"/>
        <v>65481.750000000007</v>
      </c>
      <c r="L41" s="417">
        <f t="shared" si="15"/>
        <v>74127.45</v>
      </c>
      <c r="M41" s="418">
        <f t="shared" si="15"/>
        <v>63364.7</v>
      </c>
      <c r="N41" s="406">
        <f t="shared" si="15"/>
        <v>78593</v>
      </c>
      <c r="O41" s="406">
        <f t="shared" si="15"/>
        <v>63720.95</v>
      </c>
      <c r="P41" s="406">
        <f t="shared" si="15"/>
        <v>65782.05</v>
      </c>
      <c r="Q41" s="406">
        <f t="shared" si="15"/>
        <v>74132.45</v>
      </c>
      <c r="R41" s="406">
        <f t="shared" si="15"/>
        <v>74133.45</v>
      </c>
      <c r="S41" s="85"/>
      <c r="T41" s="193">
        <f t="shared" ref="T41:AF41" si="16">+T16+T19+T39</f>
        <v>78389.950000000012</v>
      </c>
      <c r="U41" s="14">
        <f t="shared" si="16"/>
        <v>89279.050000000017</v>
      </c>
      <c r="V41" s="14" t="e">
        <f>+V16+V19+V39</f>
        <v>#REF!</v>
      </c>
      <c r="W41" s="319">
        <f t="shared" si="16"/>
        <v>64495.299999999996</v>
      </c>
      <c r="X41" s="319"/>
      <c r="Y41" s="157">
        <f>+Y16+Y19+Y39</f>
        <v>68717.210000000006</v>
      </c>
      <c r="Z41" s="184">
        <f t="shared" si="16"/>
        <v>64463.29</v>
      </c>
      <c r="AA41" s="150">
        <f t="shared" si="16"/>
        <v>61034.55</v>
      </c>
      <c r="AB41" s="150">
        <f t="shared" si="16"/>
        <v>62375.939999999995</v>
      </c>
      <c r="AC41" s="150">
        <f t="shared" si="16"/>
        <v>65541.509999999995</v>
      </c>
      <c r="AD41" s="150">
        <f t="shared" si="16"/>
        <v>63552.259999999995</v>
      </c>
      <c r="AE41" s="150">
        <f t="shared" si="16"/>
        <v>60096.959999999992</v>
      </c>
      <c r="AF41" s="150">
        <f t="shared" si="16"/>
        <v>61105.210000000006</v>
      </c>
    </row>
    <row r="42" spans="1:32" ht="14.25" hidden="1" thickTop="1" thickBot="1" x14ac:dyDescent="0.25">
      <c r="A42" s="173" t="s">
        <v>14</v>
      </c>
      <c r="B42" s="409"/>
      <c r="C42" s="409"/>
      <c r="D42" s="410"/>
      <c r="E42" s="411" t="e">
        <f t="shared" ref="E42:R42" si="17">+E41*12</f>
        <v>#VALUE!</v>
      </c>
      <c r="F42" s="411" t="e">
        <f t="shared" si="17"/>
        <v>#VALUE!</v>
      </c>
      <c r="G42" s="411" t="e">
        <f t="shared" si="17"/>
        <v>#VALUE!</v>
      </c>
      <c r="H42" s="411">
        <f t="shared" si="17"/>
        <v>895783.79999999993</v>
      </c>
      <c r="I42" s="411">
        <f t="shared" si="17"/>
        <v>850003.79999999993</v>
      </c>
      <c r="J42" s="411">
        <f>+J41*12</f>
        <v>851377.20000000007</v>
      </c>
      <c r="K42" s="411">
        <f t="shared" si="17"/>
        <v>785781.00000000012</v>
      </c>
      <c r="L42" s="412">
        <f t="shared" si="17"/>
        <v>889529.39999999991</v>
      </c>
      <c r="M42" s="413">
        <f t="shared" si="17"/>
        <v>760376.39999999991</v>
      </c>
      <c r="N42" s="411">
        <f t="shared" si="17"/>
        <v>943116</v>
      </c>
      <c r="O42" s="411">
        <f t="shared" si="17"/>
        <v>764651.39999999991</v>
      </c>
      <c r="P42" s="411">
        <f t="shared" si="17"/>
        <v>789384.60000000009</v>
      </c>
      <c r="Q42" s="411">
        <f t="shared" si="17"/>
        <v>889589.39999999991</v>
      </c>
      <c r="R42" s="411">
        <f t="shared" si="17"/>
        <v>889601.39999999991</v>
      </c>
      <c r="S42" s="85"/>
      <c r="T42" s="199">
        <f t="shared" ref="T42:AF42" si="18">+T41*12</f>
        <v>940679.40000000014</v>
      </c>
      <c r="U42" s="176">
        <f t="shared" si="18"/>
        <v>1071348.6000000001</v>
      </c>
      <c r="V42" s="176" t="e">
        <f t="shared" si="18"/>
        <v>#REF!</v>
      </c>
      <c r="W42" s="338">
        <f t="shared" si="18"/>
        <v>773943.6</v>
      </c>
      <c r="X42" s="338" t="e">
        <f>'2016 Renewal'!#REF!</f>
        <v>#REF!</v>
      </c>
      <c r="Y42" s="224">
        <f t="shared" si="18"/>
        <v>824606.52</v>
      </c>
      <c r="Z42" s="185">
        <f t="shared" si="18"/>
        <v>773559.48</v>
      </c>
      <c r="AA42" s="152">
        <f t="shared" si="18"/>
        <v>732414.60000000009</v>
      </c>
      <c r="AB42" s="152">
        <f t="shared" si="18"/>
        <v>748511.27999999991</v>
      </c>
      <c r="AC42" s="152">
        <f t="shared" si="18"/>
        <v>786498.11999999988</v>
      </c>
      <c r="AD42" s="152">
        <f t="shared" si="18"/>
        <v>762627.11999999988</v>
      </c>
      <c r="AE42" s="152">
        <f t="shared" si="18"/>
        <v>721163.5199999999</v>
      </c>
      <c r="AF42" s="152">
        <f t="shared" si="18"/>
        <v>733262.52</v>
      </c>
    </row>
    <row r="43" spans="1:32" ht="13.5" hidden="1" thickTop="1" x14ac:dyDescent="0.2">
      <c r="A43" s="169" t="s">
        <v>97</v>
      </c>
      <c r="B43" s="11"/>
      <c r="C43" s="11"/>
      <c r="D43" s="12"/>
      <c r="E43" s="14" t="e">
        <f t="shared" ref="E43:R43" si="19">+(E25+E41)</f>
        <v>#VALUE!</v>
      </c>
      <c r="F43" s="14" t="e">
        <f t="shared" si="19"/>
        <v>#VALUE!</v>
      </c>
      <c r="G43" s="14" t="e">
        <f t="shared" si="19"/>
        <v>#VALUE!</v>
      </c>
      <c r="H43" s="14">
        <f t="shared" si="19"/>
        <v>464323.65</v>
      </c>
      <c r="I43" s="14">
        <f t="shared" si="19"/>
        <v>621834.1</v>
      </c>
      <c r="J43" s="14">
        <f>+(J25+J41)</f>
        <v>595390.69999999995</v>
      </c>
      <c r="K43" s="14">
        <f t="shared" si="19"/>
        <v>554357.65</v>
      </c>
      <c r="L43" s="172">
        <f t="shared" si="19"/>
        <v>462739.7</v>
      </c>
      <c r="M43" s="130">
        <f t="shared" si="19"/>
        <v>456478.64999999997</v>
      </c>
      <c r="N43" s="14">
        <f t="shared" si="19"/>
        <v>446326.3</v>
      </c>
      <c r="O43" s="14">
        <f t="shared" si="19"/>
        <v>434397.25</v>
      </c>
      <c r="P43" s="14">
        <f t="shared" si="19"/>
        <v>578779.65</v>
      </c>
      <c r="Q43" s="14">
        <f t="shared" si="19"/>
        <v>462744.7</v>
      </c>
      <c r="R43" s="14">
        <f t="shared" si="19"/>
        <v>491221.95</v>
      </c>
      <c r="S43" s="85"/>
      <c r="T43" s="193">
        <f t="shared" ref="T43:AF43" si="20">+(T25+T41)</f>
        <v>946496.64999999991</v>
      </c>
      <c r="U43" s="14">
        <f t="shared" si="20"/>
        <v>1061372.2</v>
      </c>
      <c r="V43" s="14" t="e">
        <f t="shared" si="20"/>
        <v>#REF!</v>
      </c>
      <c r="W43" s="319">
        <f t="shared" si="20"/>
        <v>708750.7</v>
      </c>
      <c r="X43" s="319"/>
      <c r="Y43" s="157">
        <f>+(Y25+Y41)</f>
        <v>609045.36</v>
      </c>
      <c r="Z43" s="190">
        <f t="shared" si="20"/>
        <v>711803.39</v>
      </c>
      <c r="AA43" s="162">
        <f t="shared" si="20"/>
        <v>734158.6</v>
      </c>
      <c r="AB43" s="162">
        <f t="shared" si="20"/>
        <v>709999.44</v>
      </c>
      <c r="AC43" s="162">
        <f t="shared" si="20"/>
        <v>724533.71000000008</v>
      </c>
      <c r="AD43" s="162">
        <f t="shared" si="20"/>
        <v>746268.31</v>
      </c>
      <c r="AE43" s="162">
        <f t="shared" si="20"/>
        <v>739172.40999999992</v>
      </c>
      <c r="AF43" s="162">
        <f t="shared" si="20"/>
        <v>716108.00999999989</v>
      </c>
    </row>
    <row r="44" spans="1:32" ht="14.25" hidden="1" thickTop="1" thickBot="1" x14ac:dyDescent="0.25">
      <c r="A44" s="362" t="s">
        <v>98</v>
      </c>
      <c r="B44" s="174"/>
      <c r="C44" s="174"/>
      <c r="D44" s="175"/>
      <c r="E44" s="176" t="e">
        <f t="shared" ref="E44:R44" si="21">+E43*12</f>
        <v>#VALUE!</v>
      </c>
      <c r="F44" s="176" t="e">
        <f t="shared" si="21"/>
        <v>#VALUE!</v>
      </c>
      <c r="G44" s="176" t="e">
        <f t="shared" si="21"/>
        <v>#VALUE!</v>
      </c>
      <c r="H44" s="176">
        <f t="shared" si="21"/>
        <v>5571883.8000000007</v>
      </c>
      <c r="I44" s="176">
        <f t="shared" si="21"/>
        <v>7462009.1999999993</v>
      </c>
      <c r="J44" s="176">
        <f>+J43*12</f>
        <v>7144688.3999999994</v>
      </c>
      <c r="K44" s="176">
        <f t="shared" si="21"/>
        <v>6652291.8000000007</v>
      </c>
      <c r="L44" s="311">
        <f t="shared" si="21"/>
        <v>5552876.4000000004</v>
      </c>
      <c r="M44" s="419">
        <f t="shared" si="21"/>
        <v>5477743.7999999998</v>
      </c>
      <c r="N44" s="176">
        <f t="shared" si="21"/>
        <v>5355915.5999999996</v>
      </c>
      <c r="O44" s="176">
        <f t="shared" si="21"/>
        <v>5212767</v>
      </c>
      <c r="P44" s="176">
        <f t="shared" si="21"/>
        <v>6945355.8000000007</v>
      </c>
      <c r="Q44" s="176">
        <f t="shared" si="21"/>
        <v>5552936.4000000004</v>
      </c>
      <c r="R44" s="176">
        <f t="shared" si="21"/>
        <v>5894663.4000000004</v>
      </c>
      <c r="S44" s="85"/>
      <c r="T44" s="199">
        <f t="shared" ref="T44:AF44" si="22">+T43*12</f>
        <v>11357959.799999999</v>
      </c>
      <c r="U44" s="176">
        <f t="shared" si="22"/>
        <v>12736466.399999999</v>
      </c>
      <c r="V44" s="176" t="e">
        <f t="shared" si="22"/>
        <v>#REF!</v>
      </c>
      <c r="W44" s="338">
        <f t="shared" si="22"/>
        <v>8505008.3999999985</v>
      </c>
      <c r="X44" s="338"/>
      <c r="Y44" s="224">
        <f t="shared" si="22"/>
        <v>7308544.3200000003</v>
      </c>
      <c r="Z44" s="191">
        <f t="shared" si="22"/>
        <v>8541640.6799999997</v>
      </c>
      <c r="AA44" s="163">
        <f t="shared" si="22"/>
        <v>8809903.1999999993</v>
      </c>
      <c r="AB44" s="163">
        <f t="shared" si="22"/>
        <v>8519993.2799999993</v>
      </c>
      <c r="AC44" s="163">
        <f t="shared" si="22"/>
        <v>8694404.5200000014</v>
      </c>
      <c r="AD44" s="163">
        <f t="shared" si="22"/>
        <v>8955219.7200000007</v>
      </c>
      <c r="AE44" s="163">
        <f t="shared" si="22"/>
        <v>8870068.9199999981</v>
      </c>
      <c r="AF44" s="163">
        <f t="shared" si="22"/>
        <v>8593296.1199999992</v>
      </c>
    </row>
    <row r="45" spans="1:32" ht="14.25" thickTop="1" thickBot="1" x14ac:dyDescent="0.25">
      <c r="A45" s="1487" t="s">
        <v>156</v>
      </c>
      <c r="B45" s="1488"/>
      <c r="C45" s="1488"/>
      <c r="D45" s="1489"/>
      <c r="E45" s="411">
        <v>400000</v>
      </c>
      <c r="F45" s="411">
        <v>400000</v>
      </c>
      <c r="G45" s="455" t="s">
        <v>41</v>
      </c>
      <c r="H45" s="455" t="s">
        <v>41</v>
      </c>
      <c r="I45" s="455" t="s">
        <v>41</v>
      </c>
      <c r="J45" s="455" t="s">
        <v>41</v>
      </c>
      <c r="K45" s="411">
        <v>0</v>
      </c>
      <c r="L45" s="411">
        <v>400000</v>
      </c>
      <c r="M45" s="411">
        <v>400000</v>
      </c>
      <c r="N45" s="411">
        <v>400000</v>
      </c>
      <c r="O45" s="411">
        <v>400000</v>
      </c>
      <c r="P45" s="411">
        <v>400000</v>
      </c>
      <c r="Q45" s="411">
        <v>400000</v>
      </c>
      <c r="R45" s="411">
        <v>400000</v>
      </c>
      <c r="S45" s="411">
        <v>400000</v>
      </c>
      <c r="T45" s="456">
        <v>0</v>
      </c>
      <c r="U45" s="457">
        <f>1220*65</f>
        <v>79300</v>
      </c>
      <c r="V45" s="457">
        <f>U45</f>
        <v>79300</v>
      </c>
      <c r="W45" s="458">
        <v>76923</v>
      </c>
      <c r="X45" s="458">
        <f>V45</f>
        <v>79300</v>
      </c>
      <c r="Y45" s="459">
        <f>V45</f>
        <v>79300</v>
      </c>
      <c r="Z45" s="313">
        <v>70119</v>
      </c>
      <c r="AA45" s="285">
        <v>70119</v>
      </c>
      <c r="AB45" s="285">
        <v>70119</v>
      </c>
      <c r="AC45" s="285">
        <v>70119</v>
      </c>
      <c r="AD45" s="285">
        <v>70119</v>
      </c>
      <c r="AE45" s="285">
        <v>70119</v>
      </c>
      <c r="AF45" s="285">
        <v>70119</v>
      </c>
    </row>
    <row r="46" spans="1:32" ht="14.25" thickTop="1" thickBot="1" x14ac:dyDescent="0.25">
      <c r="A46" s="1485" t="s">
        <v>151</v>
      </c>
      <c r="B46" s="1486"/>
      <c r="C46" s="1486"/>
      <c r="D46" s="1486"/>
      <c r="E46" s="450" t="e">
        <f>+(E26+E42+E45)</f>
        <v>#VALUE!</v>
      </c>
      <c r="F46" s="451" t="e">
        <f>+(F26+F42+F45)</f>
        <v>#VALUE!</v>
      </c>
      <c r="G46" s="451" t="e">
        <f>+(G26+G42)</f>
        <v>#VALUE!</v>
      </c>
      <c r="H46" s="452">
        <f>+(H26+H42)</f>
        <v>5571883.7999999998</v>
      </c>
      <c r="I46" s="451">
        <f>+(I26+I42)</f>
        <v>7462009.1999999993</v>
      </c>
      <c r="J46" s="451">
        <f>+(J26+J42)</f>
        <v>7144688.3999999994</v>
      </c>
      <c r="K46" s="451">
        <f>+(K26+K42+K45)</f>
        <v>6652291.7999999998</v>
      </c>
      <c r="L46" s="421">
        <f t="shared" ref="L46:R46" si="23">+(L29+L43)</f>
        <v>462739.7</v>
      </c>
      <c r="M46" s="453">
        <f t="shared" si="23"/>
        <v>456478.64999999997</v>
      </c>
      <c r="N46" s="451">
        <f t="shared" si="23"/>
        <v>446326.3</v>
      </c>
      <c r="O46" s="451">
        <f t="shared" si="23"/>
        <v>434397.25</v>
      </c>
      <c r="P46" s="451">
        <f t="shared" si="23"/>
        <v>578779.65</v>
      </c>
      <c r="Q46" s="451">
        <f t="shared" si="23"/>
        <v>462744.7</v>
      </c>
      <c r="R46" s="451">
        <f t="shared" si="23"/>
        <v>491221.95</v>
      </c>
      <c r="S46" s="420"/>
      <c r="T46" s="454">
        <f>+(T26+T42+T45)</f>
        <v>11357959.799999999</v>
      </c>
      <c r="U46" s="422">
        <f t="shared" ref="U46:AF46" si="24">+(U26+U42+U45)</f>
        <v>12815766.4</v>
      </c>
      <c r="V46" s="422" t="e">
        <f t="shared" si="24"/>
        <v>#REF!</v>
      </c>
      <c r="W46" s="423">
        <f t="shared" si="24"/>
        <v>8581931.3999999985</v>
      </c>
      <c r="X46" s="423" t="e">
        <f>X17+X26+X40+X45</f>
        <v>#REF!</v>
      </c>
      <c r="Y46" s="424">
        <f>+(Y26+Y42+Y45)</f>
        <v>7387844.3200000003</v>
      </c>
      <c r="Z46" s="191">
        <f t="shared" si="24"/>
        <v>8611759.6799999997</v>
      </c>
      <c r="AA46" s="163">
        <f t="shared" si="24"/>
        <v>8880022.1999999993</v>
      </c>
      <c r="AB46" s="163">
        <f t="shared" si="24"/>
        <v>8590112.2799999993</v>
      </c>
      <c r="AC46" s="163">
        <f t="shared" si="24"/>
        <v>8764523.5199999996</v>
      </c>
      <c r="AD46" s="163">
        <f t="shared" si="24"/>
        <v>9025338.7200000007</v>
      </c>
      <c r="AE46" s="163">
        <f t="shared" si="24"/>
        <v>8940187.9199999999</v>
      </c>
      <c r="AF46" s="163">
        <f t="shared" si="24"/>
        <v>8663415.1199999992</v>
      </c>
    </row>
    <row r="47" spans="1:32" ht="13.5" thickBot="1" x14ac:dyDescent="0.25">
      <c r="A47" s="1483" t="s">
        <v>102</v>
      </c>
      <c r="B47" s="1484"/>
      <c r="C47" s="1484"/>
      <c r="D47" s="1484"/>
      <c r="E47" s="428" t="s">
        <v>34</v>
      </c>
      <c r="F47" s="429" t="e">
        <f>(#REF!-F46)/-#REF!</f>
        <v>#REF!</v>
      </c>
      <c r="G47" s="429" t="e">
        <f>($E$46-G46)/-$E$46</f>
        <v>#VALUE!</v>
      </c>
      <c r="H47" s="430" t="s">
        <v>34</v>
      </c>
      <c r="I47" s="429">
        <f>($H$46-I46)/-$H$46</f>
        <v>0.33922555958543132</v>
      </c>
      <c r="J47" s="429">
        <f>($H$46-J46)/-$H$46</f>
        <v>0.2822751974834794</v>
      </c>
      <c r="K47" s="429">
        <f>($H$46-K46)/-$H$46</f>
        <v>0.19390354120450251</v>
      </c>
      <c r="L47" s="431">
        <f t="shared" ref="L47:R47" si="25">(L43-L46)/L43</f>
        <v>0</v>
      </c>
      <c r="M47" s="432">
        <f t="shared" si="25"/>
        <v>0</v>
      </c>
      <c r="N47" s="429">
        <f t="shared" si="25"/>
        <v>0</v>
      </c>
      <c r="O47" s="429">
        <f t="shared" si="25"/>
        <v>0</v>
      </c>
      <c r="P47" s="429">
        <f t="shared" si="25"/>
        <v>0</v>
      </c>
      <c r="Q47" s="429">
        <f t="shared" si="25"/>
        <v>0</v>
      </c>
      <c r="R47" s="429">
        <f t="shared" si="25"/>
        <v>0</v>
      </c>
      <c r="S47" s="433"/>
      <c r="T47" s="434" t="s">
        <v>34</v>
      </c>
      <c r="U47" s="429">
        <f>($T$46-U46)/-$T$46</f>
        <v>0.12835109699895236</v>
      </c>
      <c r="V47" s="435" t="e">
        <f>($T$46-V46)/-$T$46</f>
        <v>#REF!</v>
      </c>
      <c r="W47" s="436">
        <f>($T$46-W46)/-$T$46</f>
        <v>-0.24441259247985722</v>
      </c>
      <c r="X47" s="435" t="e">
        <f>X48/T46</f>
        <v>#REF!</v>
      </c>
      <c r="Y47" s="437">
        <f t="shared" ref="Y47:AF47" si="26">($T$46-Y46)/-$T$46</f>
        <v>-0.34954477299699538</v>
      </c>
      <c r="Z47" s="314">
        <f t="shared" si="26"/>
        <v>-0.2417863919539493</v>
      </c>
      <c r="AA47" s="210">
        <f t="shared" si="26"/>
        <v>-0.21816749166518443</v>
      </c>
      <c r="AB47" s="210">
        <f t="shared" si="26"/>
        <v>-0.24369231523429055</v>
      </c>
      <c r="AC47" s="210">
        <f t="shared" si="26"/>
        <v>-0.22833645528486549</v>
      </c>
      <c r="AD47" s="210">
        <f t="shared" si="26"/>
        <v>-0.20537324669875998</v>
      </c>
      <c r="AE47" s="210">
        <f t="shared" si="26"/>
        <v>-0.21287026213986066</v>
      </c>
      <c r="AF47" s="210">
        <f t="shared" si="26"/>
        <v>-0.23723844136162553</v>
      </c>
    </row>
    <row r="48" spans="1:32" ht="13.5" thickBot="1" x14ac:dyDescent="0.25">
      <c r="A48" s="1483" t="s">
        <v>119</v>
      </c>
      <c r="B48" s="1484"/>
      <c r="C48" s="1484"/>
      <c r="D48" s="1484"/>
      <c r="E48" s="428" t="s">
        <v>34</v>
      </c>
      <c r="F48" s="429" t="e">
        <f>(#REF!-F49)/-F49</f>
        <v>#REF!</v>
      </c>
      <c r="G48" s="438" t="e">
        <f>G46-E46</f>
        <v>#VALUE!</v>
      </c>
      <c r="H48" s="439" t="s">
        <v>34</v>
      </c>
      <c r="I48" s="438">
        <f>I46-H46</f>
        <v>1890125.3999999994</v>
      </c>
      <c r="J48" s="438">
        <f>J46-H46</f>
        <v>1572804.5999999996</v>
      </c>
      <c r="K48" s="438">
        <f>K46-H46</f>
        <v>1080408</v>
      </c>
      <c r="L48" s="438">
        <f>L46-I46</f>
        <v>-6999269.4999999991</v>
      </c>
      <c r="M48" s="438">
        <f t="shared" ref="M48:S48" si="27">M46-K46</f>
        <v>-6195813.1499999994</v>
      </c>
      <c r="N48" s="438">
        <f t="shared" si="27"/>
        <v>-16413.400000000023</v>
      </c>
      <c r="O48" s="438">
        <f t="shared" si="27"/>
        <v>-22081.399999999965</v>
      </c>
      <c r="P48" s="438">
        <f t="shared" si="27"/>
        <v>132453.35000000003</v>
      </c>
      <c r="Q48" s="438">
        <f t="shared" si="27"/>
        <v>28347.450000000012</v>
      </c>
      <c r="R48" s="438">
        <f t="shared" si="27"/>
        <v>-87557.700000000012</v>
      </c>
      <c r="S48" s="438">
        <f t="shared" si="27"/>
        <v>-462744.7</v>
      </c>
      <c r="T48" s="440" t="s">
        <v>34</v>
      </c>
      <c r="U48" s="438">
        <f>U46-T46</f>
        <v>1457806.6000000015</v>
      </c>
      <c r="V48" s="426" t="e">
        <f>V46-T46</f>
        <v>#REF!</v>
      </c>
      <c r="W48" s="425">
        <f>W46-S46</f>
        <v>8581931.3999999985</v>
      </c>
      <c r="X48" s="425" t="e">
        <f>X46-T46</f>
        <v>#REF!</v>
      </c>
      <c r="Y48" s="427">
        <f>Y46-T46</f>
        <v>-3970115.4799999986</v>
      </c>
      <c r="Z48" s="315">
        <f>Z46-S46</f>
        <v>8611759.6799999997</v>
      </c>
      <c r="AA48" s="211">
        <f>AA46-S46</f>
        <v>8880022.1999999993</v>
      </c>
      <c r="AB48" s="211">
        <f>AB46-S46</f>
        <v>8590112.2799999993</v>
      </c>
      <c r="AC48" s="211">
        <f>AC46-S46</f>
        <v>8764523.5199999996</v>
      </c>
      <c r="AD48" s="211">
        <f>AD46-S46</f>
        <v>9025338.7200000007</v>
      </c>
      <c r="AE48" s="211">
        <f>AE46-S46</f>
        <v>8940187.9199999999</v>
      </c>
      <c r="AF48" s="211">
        <f>AF46-T46</f>
        <v>-2694544.6799999997</v>
      </c>
    </row>
    <row r="49" spans="1:35" ht="13.5" hidden="1" thickBot="1" x14ac:dyDescent="0.25">
      <c r="A49" s="194" t="s">
        <v>152</v>
      </c>
      <c r="B49" s="218"/>
      <c r="C49" s="196"/>
      <c r="D49" s="134"/>
      <c r="E49" s="23" t="e">
        <f>E27+E42+E45</f>
        <v>#VALUE!</v>
      </c>
      <c r="F49" s="23" t="e">
        <f>F27+F42+F45</f>
        <v>#VALUE!</v>
      </c>
      <c r="G49" s="23" t="e">
        <f>G27+G42</f>
        <v>#VALUE!</v>
      </c>
      <c r="H49" s="23">
        <f>H27+H42</f>
        <v>4636663.8</v>
      </c>
      <c r="I49" s="23">
        <f>I27+I42</f>
        <v>6139608.1199999992</v>
      </c>
      <c r="J49" s="23">
        <f>J27+J42</f>
        <v>5886026.1599999992</v>
      </c>
      <c r="K49" s="23">
        <f>K27+K42</f>
        <v>5478989.6399999997</v>
      </c>
      <c r="L49" s="190">
        <v>5298170</v>
      </c>
      <c r="M49" s="133">
        <v>5298170</v>
      </c>
      <c r="N49" s="20">
        <v>5298170</v>
      </c>
      <c r="O49" s="20">
        <v>5298170</v>
      </c>
      <c r="P49" s="20">
        <v>5298170</v>
      </c>
      <c r="Q49" s="20">
        <v>5298170</v>
      </c>
      <c r="R49" s="20">
        <v>5298170</v>
      </c>
      <c r="T49" s="306">
        <f>T27+T42</f>
        <v>9274503.7199999988</v>
      </c>
      <c r="U49" s="23">
        <f>U27+U42+U45</f>
        <v>10482742.84</v>
      </c>
      <c r="V49" s="23" t="e">
        <f>V27+V42+V45</f>
        <v>#REF!</v>
      </c>
      <c r="W49" s="196">
        <f>W27+W42+W45</f>
        <v>7035718.4399999985</v>
      </c>
      <c r="X49" s="196"/>
      <c r="Y49" s="163">
        <f t="shared" ref="Y49:AF49" si="28">Y27+Y42+Y45</f>
        <v>6091056.7599999998</v>
      </c>
      <c r="Z49" s="191">
        <f t="shared" si="28"/>
        <v>7058143.4399999995</v>
      </c>
      <c r="AA49" s="163">
        <f t="shared" si="28"/>
        <v>7264524.4800000004</v>
      </c>
      <c r="AB49" s="163">
        <f t="shared" si="28"/>
        <v>7035815.8799999999</v>
      </c>
      <c r="AC49" s="163">
        <f t="shared" si="28"/>
        <v>7182942.2400000002</v>
      </c>
      <c r="AD49" s="163">
        <f t="shared" si="28"/>
        <v>7386820.2000000002</v>
      </c>
      <c r="AE49" s="163">
        <f t="shared" si="28"/>
        <v>7310406.8399999989</v>
      </c>
      <c r="AF49" s="163">
        <f t="shared" si="28"/>
        <v>7091408.4000000004</v>
      </c>
      <c r="AI49" s="78" t="s">
        <v>116</v>
      </c>
    </row>
    <row r="50" spans="1:35" ht="14.25" hidden="1" thickTop="1" thickBot="1" x14ac:dyDescent="0.25">
      <c r="A50" s="194" t="s">
        <v>100</v>
      </c>
      <c r="B50" s="22"/>
      <c r="C50" s="195"/>
      <c r="D50" s="196"/>
      <c r="E50" s="217" t="s">
        <v>34</v>
      </c>
      <c r="F50" s="81" t="e">
        <f>(#REF!-F49)/-#REF!</f>
        <v>#REF!</v>
      </c>
      <c r="G50" s="81" t="e">
        <f>($E$49-G49)/-$E$49</f>
        <v>#VALUE!</v>
      </c>
      <c r="H50" s="206" t="s">
        <v>34</v>
      </c>
      <c r="I50" s="81">
        <f>($H$49-I49)/-$H$49</f>
        <v>0.32414347574650537</v>
      </c>
      <c r="J50" s="81">
        <f>($H$49-J49)/-$H$49</f>
        <v>0.26945286824548276</v>
      </c>
      <c r="K50" s="81">
        <f>($H$49-K49)/-$H$49</f>
        <v>0.18166636105900105</v>
      </c>
      <c r="L50" s="171"/>
      <c r="M50" s="171"/>
      <c r="N50" s="171"/>
      <c r="O50" s="171"/>
      <c r="P50" s="171"/>
      <c r="Q50" s="171"/>
      <c r="R50" s="171"/>
      <c r="T50" s="307" t="s">
        <v>34</v>
      </c>
      <c r="U50" s="81">
        <f t="shared" ref="U50:AF50" si="29">($T$49-U49)/-$T$49</f>
        <v>0.13027533941190778</v>
      </c>
      <c r="V50" s="81" t="e">
        <f>($T$49-V49)/-$T$49</f>
        <v>#REF!</v>
      </c>
      <c r="W50" s="341">
        <f t="shared" si="29"/>
        <v>-0.24139138304211069</v>
      </c>
      <c r="X50" s="341"/>
      <c r="Y50" s="210">
        <f>($T$49-Y49)/-$T$49</f>
        <v>-0.34324714896982106</v>
      </c>
      <c r="Z50" s="314">
        <f>($T$49-Z49)/-$T$49</f>
        <v>-0.23897346390842783</v>
      </c>
      <c r="AA50" s="210">
        <f>($T$49-AA49)/-$T$49</f>
        <v>-0.21672094816950471</v>
      </c>
      <c r="AB50" s="210">
        <f>($T$49-AB49)/-$T$49</f>
        <v>-0.24138087681957382</v>
      </c>
      <c r="AC50" s="210">
        <f t="shared" si="29"/>
        <v>-0.22551734768186593</v>
      </c>
      <c r="AD50" s="210">
        <f t="shared" si="29"/>
        <v>-0.20353472023837829</v>
      </c>
      <c r="AE50" s="210">
        <f t="shared" si="29"/>
        <v>-0.21177379828578041</v>
      </c>
      <c r="AF50" s="210">
        <f t="shared" si="29"/>
        <v>-0.23538675339492976</v>
      </c>
    </row>
    <row r="51" spans="1:35" ht="15" hidden="1" customHeight="1" thickTop="1" thickBot="1" x14ac:dyDescent="0.25">
      <c r="A51" s="165" t="s">
        <v>101</v>
      </c>
      <c r="B51" s="166"/>
      <c r="C51" s="219"/>
      <c r="D51" s="221"/>
      <c r="E51" s="220" t="s">
        <v>34</v>
      </c>
      <c r="F51" s="168" t="e">
        <f>(#REF!-F52)/-F52</f>
        <v>#REF!</v>
      </c>
      <c r="G51" s="167" t="e">
        <f>G49-E49</f>
        <v>#VALUE!</v>
      </c>
      <c r="H51" s="207" t="s">
        <v>34</v>
      </c>
      <c r="I51" s="167">
        <f>I49-H49</f>
        <v>1502944.3199999994</v>
      </c>
      <c r="J51" s="167">
        <f>J49-H49</f>
        <v>1249362.3599999994</v>
      </c>
      <c r="K51" s="167">
        <f>K49-H49</f>
        <v>842325.83999999985</v>
      </c>
      <c r="L51" s="212"/>
      <c r="M51" s="212" t="s">
        <v>82</v>
      </c>
      <c r="N51" s="212" t="s">
        <v>82</v>
      </c>
      <c r="O51" s="212" t="s">
        <v>82</v>
      </c>
      <c r="P51" s="212" t="s">
        <v>82</v>
      </c>
      <c r="Q51" s="212" t="s">
        <v>82</v>
      </c>
      <c r="R51" s="212" t="s">
        <v>82</v>
      </c>
      <c r="S51" s="213"/>
      <c r="T51" s="308" t="s">
        <v>34</v>
      </c>
      <c r="U51" s="167">
        <f>U49-T49</f>
        <v>1208239.120000001</v>
      </c>
      <c r="V51" s="167" t="e">
        <f>V49-T49</f>
        <v>#REF!</v>
      </c>
      <c r="W51" s="221">
        <f>W49-T49</f>
        <v>-2238785.2800000003</v>
      </c>
      <c r="X51" s="221"/>
      <c r="Y51" s="211">
        <f>Y49-T49</f>
        <v>-3183446.959999999</v>
      </c>
      <c r="Z51" s="315">
        <f>Z49-T49</f>
        <v>-2216360.2799999993</v>
      </c>
      <c r="AA51" s="211">
        <f>AA49-T49</f>
        <v>-2009979.2399999984</v>
      </c>
      <c r="AB51" s="211">
        <f>AB49-T49</f>
        <v>-2238687.8399999989</v>
      </c>
      <c r="AC51" s="211">
        <f>AC49-S49</f>
        <v>7182942.2400000002</v>
      </c>
      <c r="AD51" s="211">
        <f>AD49-S49</f>
        <v>7386820.2000000002</v>
      </c>
      <c r="AE51" s="211">
        <f>AE49-S49</f>
        <v>7310406.8399999989</v>
      </c>
      <c r="AF51" s="211">
        <f>AF49-T49</f>
        <v>-2183095.3199999984</v>
      </c>
    </row>
    <row r="52" spans="1:35" hidden="1" x14ac:dyDescent="0.2">
      <c r="A52" s="24"/>
      <c r="B52" s="11"/>
      <c r="D52" s="25" t="s">
        <v>15</v>
      </c>
      <c r="E52" s="201" t="s">
        <v>104</v>
      </c>
      <c r="F52" s="201" t="s">
        <v>105</v>
      </c>
      <c r="H52" s="201"/>
      <c r="I52" s="170"/>
      <c r="J52" s="170"/>
      <c r="K52" s="170"/>
      <c r="L52" s="37"/>
      <c r="M52" s="37"/>
      <c r="N52" s="37"/>
      <c r="O52" s="37"/>
      <c r="P52" s="37"/>
      <c r="T52" s="209"/>
      <c r="U52" s="209"/>
      <c r="V52" s="209"/>
      <c r="W52" s="229"/>
      <c r="X52" s="229"/>
      <c r="Y52" s="209"/>
      <c r="Z52" s="229"/>
      <c r="AA52" s="229"/>
      <c r="AB52" s="229"/>
      <c r="AC52" s="229"/>
      <c r="AD52" s="229"/>
      <c r="AE52" s="229"/>
      <c r="AF52" s="229"/>
    </row>
    <row r="53" spans="1:35" hidden="1" x14ac:dyDescent="0.2">
      <c r="A53" s="1" t="s">
        <v>16</v>
      </c>
      <c r="B53" s="1"/>
      <c r="C53" s="1" t="s">
        <v>107</v>
      </c>
      <c r="D53" s="25">
        <f>SUM(D54:D57)</f>
        <v>545</v>
      </c>
      <c r="E53" s="200">
        <v>4566279.0650000004</v>
      </c>
      <c r="F53" s="200">
        <v>4566280.0650000004</v>
      </c>
      <c r="H53" s="200"/>
      <c r="I53" s="215"/>
      <c r="J53" s="215"/>
      <c r="K53" s="223"/>
      <c r="L53" s="25"/>
      <c r="M53" s="25"/>
      <c r="N53" s="25"/>
      <c r="O53" s="25"/>
      <c r="P53" s="25"/>
      <c r="T53" s="85"/>
      <c r="U53" s="287"/>
      <c r="V53" s="287"/>
      <c r="Y53" s="287"/>
      <c r="Z53" s="286">
        <f>T40-Y40</f>
        <v>135169.68000000011</v>
      </c>
      <c r="AB53">
        <f>Z53/T40</f>
        <v>0.38024531324107519</v>
      </c>
      <c r="AC53" s="286">
        <f>T40-U40</f>
        <v>0</v>
      </c>
      <c r="AD53">
        <v>5879172</v>
      </c>
    </row>
    <row r="54" spans="1:35" hidden="1" x14ac:dyDescent="0.2">
      <c r="A54" s="1"/>
      <c r="B54" s="1"/>
      <c r="C54" s="85" t="s">
        <v>146</v>
      </c>
      <c r="D54" s="25">
        <v>54</v>
      </c>
      <c r="E54" s="200"/>
      <c r="F54" s="200"/>
      <c r="H54" s="200"/>
      <c r="I54" s="37"/>
      <c r="J54" s="37"/>
      <c r="L54" s="25"/>
      <c r="M54" s="25"/>
      <c r="N54" s="25"/>
      <c r="O54" s="25"/>
      <c r="P54" s="25"/>
      <c r="T54" s="85"/>
      <c r="U54" s="287"/>
      <c r="V54" s="287"/>
      <c r="W54" s="85"/>
      <c r="X54" s="85"/>
      <c r="Y54" s="287"/>
      <c r="Z54" s="320">
        <f>(T13-Y13)/-T13</f>
        <v>3.2632990612427373E-2</v>
      </c>
      <c r="AA54" s="85"/>
      <c r="AB54" s="85"/>
      <c r="AC54" s="85">
        <f>AC53/T40</f>
        <v>0</v>
      </c>
      <c r="AD54" s="85">
        <f>6091057-AD53</f>
        <v>211885</v>
      </c>
      <c r="AE54" s="85">
        <f>15.3-11.3</f>
        <v>4</v>
      </c>
      <c r="AF54" s="85"/>
    </row>
    <row r="55" spans="1:35" hidden="1" x14ac:dyDescent="0.2">
      <c r="C55" s="85"/>
      <c r="D55" s="25"/>
      <c r="E55" s="200"/>
      <c r="F55" s="37"/>
      <c r="G55" s="37"/>
      <c r="H55" s="37"/>
      <c r="I55" s="37"/>
      <c r="J55" s="37"/>
      <c r="L55" s="25"/>
      <c r="M55" s="25"/>
      <c r="N55" s="25"/>
      <c r="O55" s="25"/>
      <c r="P55" s="25"/>
      <c r="T55" s="85"/>
      <c r="U55" s="85"/>
      <c r="V55" s="85"/>
      <c r="W55" s="85"/>
      <c r="X55" s="85"/>
      <c r="Y55" s="85"/>
      <c r="Z55" s="85"/>
      <c r="AA55" s="85"/>
      <c r="AB55" s="85"/>
      <c r="AC55" s="85"/>
      <c r="AD55" s="85"/>
      <c r="AE55" s="85"/>
      <c r="AF55" s="85"/>
    </row>
    <row r="56" spans="1:35" hidden="1" x14ac:dyDescent="0.2">
      <c r="C56" s="85" t="s">
        <v>147</v>
      </c>
      <c r="D56" s="25">
        <v>478</v>
      </c>
      <c r="E56" s="200"/>
      <c r="F56" s="37"/>
      <c r="G56" s="37"/>
      <c r="H56" s="37"/>
      <c r="I56" s="37"/>
      <c r="J56" s="37"/>
      <c r="L56" s="25"/>
      <c r="M56" s="25"/>
      <c r="N56" s="25"/>
      <c r="O56" s="25"/>
      <c r="P56" s="25"/>
      <c r="T56" s="85"/>
      <c r="U56" s="85"/>
      <c r="V56" s="85"/>
      <c r="W56" s="85"/>
      <c r="X56" s="85"/>
      <c r="Y56" s="287"/>
      <c r="Z56" s="320">
        <f>(T40-Y40)/-T40</f>
        <v>-0.38024531324107519</v>
      </c>
      <c r="AA56" s="85"/>
      <c r="AB56" s="85"/>
      <c r="AC56" s="85"/>
      <c r="AD56" s="85"/>
      <c r="AE56" s="85"/>
      <c r="AF56" s="85"/>
    </row>
    <row r="57" spans="1:35" hidden="1" x14ac:dyDescent="0.2">
      <c r="C57" s="85" t="s">
        <v>122</v>
      </c>
      <c r="D57" s="25">
        <v>13</v>
      </c>
      <c r="E57" s="200"/>
      <c r="F57" s="37"/>
      <c r="G57" s="37"/>
      <c r="H57" s="37"/>
      <c r="I57" s="37"/>
      <c r="J57" s="37"/>
      <c r="L57" s="25"/>
      <c r="M57" s="25"/>
      <c r="N57" s="25"/>
      <c r="O57" s="25"/>
      <c r="P57" s="25"/>
      <c r="T57" s="85"/>
      <c r="U57" s="85"/>
      <c r="V57" s="85"/>
      <c r="W57" s="85"/>
      <c r="X57" s="85"/>
      <c r="Y57" s="85"/>
      <c r="Z57" s="85">
        <f>11.3-15.2</f>
        <v>-3.8999999999999986</v>
      </c>
      <c r="AA57" s="85"/>
      <c r="AB57" s="85"/>
      <c r="AC57" s="85"/>
      <c r="AD57" s="85"/>
      <c r="AE57" s="85"/>
      <c r="AF57" s="85"/>
    </row>
    <row r="58" spans="1:35" hidden="1" x14ac:dyDescent="0.2">
      <c r="Z58">
        <f>15.2-11.3</f>
        <v>3.8999999999999986</v>
      </c>
    </row>
    <row r="59" spans="1:35" x14ac:dyDescent="0.2">
      <c r="T59">
        <f>31.21+0.34</f>
        <v>31.55</v>
      </c>
      <c r="U59">
        <f t="shared" ref="U59:AF59" si="30">32.14+0.34</f>
        <v>32.480000000000004</v>
      </c>
      <c r="V59">
        <f t="shared" si="30"/>
        <v>32.480000000000004</v>
      </c>
      <c r="W59">
        <f t="shared" si="30"/>
        <v>32.480000000000004</v>
      </c>
      <c r="Y59">
        <f t="shared" si="30"/>
        <v>32.480000000000004</v>
      </c>
      <c r="Z59">
        <f t="shared" si="30"/>
        <v>32.480000000000004</v>
      </c>
      <c r="AA59">
        <f t="shared" si="30"/>
        <v>32.480000000000004</v>
      </c>
      <c r="AB59">
        <f t="shared" si="30"/>
        <v>32.480000000000004</v>
      </c>
      <c r="AC59">
        <f t="shared" si="30"/>
        <v>32.480000000000004</v>
      </c>
      <c r="AD59">
        <f t="shared" si="30"/>
        <v>32.480000000000004</v>
      </c>
      <c r="AE59">
        <f t="shared" si="30"/>
        <v>32.480000000000004</v>
      </c>
      <c r="AF59">
        <f t="shared" si="30"/>
        <v>32.480000000000004</v>
      </c>
    </row>
    <row r="60" spans="1:35" x14ac:dyDescent="0.2">
      <c r="T60">
        <f>34.96+0.34</f>
        <v>35.300000000000004</v>
      </c>
      <c r="U60">
        <f t="shared" ref="U60:AF60" si="31">36.01+0.34</f>
        <v>36.35</v>
      </c>
      <c r="V60">
        <f t="shared" si="31"/>
        <v>36.35</v>
      </c>
      <c r="W60">
        <f t="shared" si="31"/>
        <v>36.35</v>
      </c>
      <c r="Y60">
        <f t="shared" si="31"/>
        <v>36.35</v>
      </c>
      <c r="Z60">
        <f t="shared" si="31"/>
        <v>36.35</v>
      </c>
      <c r="AA60">
        <f t="shared" si="31"/>
        <v>36.35</v>
      </c>
      <c r="AB60">
        <f t="shared" si="31"/>
        <v>36.35</v>
      </c>
      <c r="AC60">
        <f t="shared" si="31"/>
        <v>36.35</v>
      </c>
      <c r="AD60">
        <f t="shared" si="31"/>
        <v>36.35</v>
      </c>
      <c r="AE60">
        <f t="shared" si="31"/>
        <v>36.35</v>
      </c>
      <c r="AF60">
        <f t="shared" si="31"/>
        <v>36.35</v>
      </c>
    </row>
    <row r="62" spans="1:35" x14ac:dyDescent="0.2">
      <c r="T62">
        <v>750.2</v>
      </c>
      <c r="U62">
        <v>1134.55</v>
      </c>
      <c r="V62">
        <v>1056.32</v>
      </c>
      <c r="W62">
        <f t="shared" ref="W62:AF62" si="32">651.92+172.22</f>
        <v>824.14</v>
      </c>
      <c r="Y62">
        <v>951.98</v>
      </c>
      <c r="Z62">
        <f t="shared" si="32"/>
        <v>824.14</v>
      </c>
      <c r="AA62">
        <f t="shared" si="32"/>
        <v>824.14</v>
      </c>
      <c r="AB62">
        <f t="shared" si="32"/>
        <v>824.14</v>
      </c>
      <c r="AC62">
        <f t="shared" si="32"/>
        <v>824.14</v>
      </c>
      <c r="AD62">
        <f t="shared" si="32"/>
        <v>824.14</v>
      </c>
      <c r="AE62">
        <f t="shared" si="32"/>
        <v>824.14</v>
      </c>
      <c r="AF62">
        <f t="shared" si="32"/>
        <v>824.14</v>
      </c>
    </row>
    <row r="63" spans="1:35" x14ac:dyDescent="0.2">
      <c r="T63">
        <f>D54*T62</f>
        <v>40510.800000000003</v>
      </c>
      <c r="U63">
        <f>D54*U62</f>
        <v>61265.7</v>
      </c>
      <c r="V63">
        <f>D54*V62</f>
        <v>57041.279999999999</v>
      </c>
      <c r="W63" t="e">
        <f>C54*W62</f>
        <v>#VALUE!</v>
      </c>
      <c r="Y63">
        <f>D54*Y62</f>
        <v>51406.92</v>
      </c>
      <c r="Z63" t="e">
        <f>C54*Z62</f>
        <v>#VALUE!</v>
      </c>
      <c r="AA63" t="e">
        <f>C54*AA62</f>
        <v>#VALUE!</v>
      </c>
      <c r="AB63" t="e">
        <f>C54*AB62</f>
        <v>#VALUE!</v>
      </c>
      <c r="AC63" t="e">
        <f>C54*AC62</f>
        <v>#VALUE!</v>
      </c>
      <c r="AD63" t="e">
        <f>C54*AD62</f>
        <v>#VALUE!</v>
      </c>
      <c r="AE63" t="e">
        <f>C54*AE62</f>
        <v>#VALUE!</v>
      </c>
      <c r="AF63">
        <f>D54*AF62</f>
        <v>44503.56</v>
      </c>
    </row>
    <row r="64" spans="1:35" x14ac:dyDescent="0.2">
      <c r="T64">
        <v>869.55</v>
      </c>
      <c r="U64">
        <v>1255.97</v>
      </c>
      <c r="V64">
        <v>1168.67</v>
      </c>
      <c r="W64">
        <f t="shared" ref="W64:AF64" si="33">827.93+172.49</f>
        <v>1000.42</v>
      </c>
      <c r="Y64">
        <v>997.25</v>
      </c>
      <c r="Z64">
        <f t="shared" si="33"/>
        <v>1000.42</v>
      </c>
      <c r="AA64">
        <f t="shared" si="33"/>
        <v>1000.42</v>
      </c>
      <c r="AB64">
        <f t="shared" si="33"/>
        <v>1000.42</v>
      </c>
      <c r="AC64">
        <f t="shared" si="33"/>
        <v>1000.42</v>
      </c>
      <c r="AD64">
        <f t="shared" si="33"/>
        <v>1000.42</v>
      </c>
      <c r="AE64">
        <f t="shared" si="33"/>
        <v>1000.42</v>
      </c>
      <c r="AF64">
        <f t="shared" si="33"/>
        <v>1000.42</v>
      </c>
    </row>
    <row r="65" spans="20:32" x14ac:dyDescent="0.2">
      <c r="T65">
        <f>D55*T64</f>
        <v>0</v>
      </c>
      <c r="U65">
        <f>D55*U64</f>
        <v>0</v>
      </c>
      <c r="V65">
        <f>D55*V64</f>
        <v>0</v>
      </c>
      <c r="W65">
        <f>C55*W64</f>
        <v>0</v>
      </c>
      <c r="Y65">
        <f>D56*Y64</f>
        <v>476685.5</v>
      </c>
      <c r="Z65">
        <f>C55*Z64</f>
        <v>0</v>
      </c>
      <c r="AA65">
        <f>C55*AA64</f>
        <v>0</v>
      </c>
      <c r="AB65">
        <f>C55*AB64</f>
        <v>0</v>
      </c>
      <c r="AC65">
        <f>C55*AC64</f>
        <v>0</v>
      </c>
      <c r="AD65">
        <f>C55*AD64</f>
        <v>0</v>
      </c>
      <c r="AE65">
        <f>C55*AE64</f>
        <v>0</v>
      </c>
      <c r="AF65">
        <f>D55*AF64</f>
        <v>0</v>
      </c>
    </row>
    <row r="66" spans="20:32" x14ac:dyDescent="0.2">
      <c r="T66">
        <v>939.11</v>
      </c>
      <c r="U66">
        <v>1030</v>
      </c>
      <c r="V66">
        <v>958.42</v>
      </c>
      <c r="W66">
        <f t="shared" ref="W66:AF66" si="34">920.75+172.49</f>
        <v>1093.24</v>
      </c>
      <c r="Y66">
        <v>941.21</v>
      </c>
      <c r="Z66">
        <f t="shared" si="34"/>
        <v>1093.24</v>
      </c>
      <c r="AA66">
        <f t="shared" si="34"/>
        <v>1093.24</v>
      </c>
      <c r="AB66">
        <f t="shared" si="34"/>
        <v>1093.24</v>
      </c>
      <c r="AC66">
        <f t="shared" si="34"/>
        <v>1093.24</v>
      </c>
      <c r="AD66">
        <f t="shared" si="34"/>
        <v>1093.24</v>
      </c>
      <c r="AE66">
        <f t="shared" si="34"/>
        <v>1093.24</v>
      </c>
      <c r="AF66">
        <f t="shared" si="34"/>
        <v>1093.24</v>
      </c>
    </row>
    <row r="67" spans="20:32" x14ac:dyDescent="0.2">
      <c r="T67">
        <f>D57*T66</f>
        <v>12208.43</v>
      </c>
      <c r="U67">
        <f>D57*U66</f>
        <v>13390</v>
      </c>
      <c r="V67">
        <f>D57*V66</f>
        <v>12459.46</v>
      </c>
      <c r="W67" t="e">
        <f>C57*W66</f>
        <v>#VALUE!</v>
      </c>
      <c r="Y67">
        <f>D57*Y66</f>
        <v>12235.73</v>
      </c>
      <c r="Z67" t="e">
        <f>C57*Z66</f>
        <v>#VALUE!</v>
      </c>
      <c r="AA67" t="e">
        <f>C57*AA66</f>
        <v>#VALUE!</v>
      </c>
      <c r="AB67" t="e">
        <f>C57*AB66</f>
        <v>#VALUE!</v>
      </c>
      <c r="AC67" t="e">
        <f>C57*AC66</f>
        <v>#VALUE!</v>
      </c>
      <c r="AD67" t="e">
        <f>C57*AD66</f>
        <v>#VALUE!</v>
      </c>
      <c r="AE67" t="e">
        <f>C57*AE66</f>
        <v>#VALUE!</v>
      </c>
      <c r="AF67">
        <f>D57*AF66</f>
        <v>14212.12</v>
      </c>
    </row>
    <row r="69" spans="20:32" x14ac:dyDescent="0.2">
      <c r="T69">
        <f>T63+T65+T67</f>
        <v>52719.23</v>
      </c>
      <c r="U69">
        <f>U63+U65+U67</f>
        <v>74655.7</v>
      </c>
      <c r="V69">
        <f>V63+V65+V67</f>
        <v>69500.739999999991</v>
      </c>
      <c r="W69" t="e">
        <f t="shared" ref="W69:AF69" si="35">W63+W65+W67</f>
        <v>#VALUE!</v>
      </c>
      <c r="Y69">
        <f>Y63+Y65+Y67</f>
        <v>540328.15</v>
      </c>
      <c r="Z69" t="e">
        <f t="shared" si="35"/>
        <v>#VALUE!</v>
      </c>
      <c r="AA69" t="e">
        <f t="shared" si="35"/>
        <v>#VALUE!</v>
      </c>
      <c r="AB69" t="e">
        <f t="shared" si="35"/>
        <v>#VALUE!</v>
      </c>
      <c r="AC69" t="e">
        <f t="shared" si="35"/>
        <v>#VALUE!</v>
      </c>
      <c r="AD69" t="e">
        <f t="shared" si="35"/>
        <v>#VALUE!</v>
      </c>
      <c r="AE69" t="e">
        <f t="shared" si="35"/>
        <v>#VALUE!</v>
      </c>
      <c r="AF69">
        <f t="shared" si="35"/>
        <v>58715.68</v>
      </c>
    </row>
    <row r="70" spans="20:32" x14ac:dyDescent="0.2">
      <c r="T70">
        <f>T69/D53</f>
        <v>96.732532110091753</v>
      </c>
      <c r="U70">
        <f>U69/D53</f>
        <v>136.9829357798165</v>
      </c>
      <c r="V70">
        <f>V69/D53</f>
        <v>127.52429357798164</v>
      </c>
      <c r="W70" t="e">
        <f>W69/C53</f>
        <v>#VALUE!</v>
      </c>
      <c r="Y70" s="286">
        <f>Y69/D53</f>
        <v>991.42779816513769</v>
      </c>
      <c r="Z70" t="e">
        <f>Z69/C53</f>
        <v>#VALUE!</v>
      </c>
      <c r="AA70" t="e">
        <f>AA69/C53</f>
        <v>#VALUE!</v>
      </c>
      <c r="AB70" t="e">
        <f>AB69/C53</f>
        <v>#VALUE!</v>
      </c>
      <c r="AC70" t="e">
        <f>AC69/C53</f>
        <v>#VALUE!</v>
      </c>
      <c r="AD70" t="e">
        <f>AD69/C53</f>
        <v>#VALUE!</v>
      </c>
      <c r="AE70" t="e">
        <f>AE69/C53</f>
        <v>#VALUE!</v>
      </c>
      <c r="AF70">
        <f>AF69/D53</f>
        <v>107.73519266055045</v>
      </c>
    </row>
    <row r="74" spans="20:32" x14ac:dyDescent="0.2">
      <c r="Y74" s="286">
        <f>T17-Y17</f>
        <v>-19096.800000000047</v>
      </c>
      <c r="Z74" s="460">
        <f>Y74/-T17</f>
        <v>3.2632990612427443E-2</v>
      </c>
    </row>
    <row r="75" spans="20:32" x14ac:dyDescent="0.2">
      <c r="Y75" s="286">
        <f>T26-Y26</f>
        <v>3933342.5999999978</v>
      </c>
      <c r="Z75" s="460">
        <f>Y75/-T26</f>
        <v>-0.3775786432704642</v>
      </c>
    </row>
    <row r="76" spans="20:32" x14ac:dyDescent="0.2">
      <c r="Y76" s="286">
        <f>T40-Y40</f>
        <v>135169.68000000011</v>
      </c>
      <c r="Z76" s="460">
        <f>Y76/-T40</f>
        <v>-0.38024531324107519</v>
      </c>
    </row>
    <row r="80" spans="20:32" x14ac:dyDescent="0.2">
      <c r="Y80">
        <f>Y46/545</f>
        <v>13555.677651376147</v>
      </c>
    </row>
    <row r="81" spans="25:26" x14ac:dyDescent="0.2">
      <c r="Y81">
        <f>Y80*608</f>
        <v>8241852.012036697</v>
      </c>
      <c r="Z81">
        <f>8241852</f>
        <v>8241852</v>
      </c>
    </row>
    <row r="82" spans="25:26" x14ac:dyDescent="0.2">
      <c r="Z82">
        <v>6801888</v>
      </c>
    </row>
    <row r="83" spans="25:26" x14ac:dyDescent="0.2">
      <c r="Z83">
        <f>Z81-Z82</f>
        <v>1439964</v>
      </c>
    </row>
  </sheetData>
  <mergeCells count="8">
    <mergeCell ref="A7:C7"/>
    <mergeCell ref="A47:D47"/>
    <mergeCell ref="A46:D46"/>
    <mergeCell ref="A48:D48"/>
    <mergeCell ref="A45:D45"/>
    <mergeCell ref="A40:D40"/>
    <mergeCell ref="A26:D26"/>
    <mergeCell ref="A17:D17"/>
  </mergeCells>
  <printOptions horizontalCentered="1"/>
  <pageMargins left="0" right="0" top="1.1499999999999999" bottom="0.16" header="0.65" footer="0.05"/>
  <pageSetup scale="85" orientation="landscape" r:id="rId1"/>
  <headerFooter alignWithMargins="0">
    <oddHeader>&amp;C&amp;"Arial,Bold"&amp;12CITY OF PEARLAND
RENEWAL - PLAN OPTION</oddHead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Q109"/>
  <sheetViews>
    <sheetView tabSelected="1" zoomScale="110" zoomScaleNormal="110" zoomScaleSheetLayoutView="150" zoomScalePageLayoutView="150" workbookViewId="0">
      <pane xSplit="1" topLeftCell="B1" activePane="topRight" state="frozen"/>
      <selection activeCell="C65" sqref="C65"/>
      <selection pane="topRight" activeCell="E17" sqref="E17"/>
    </sheetView>
  </sheetViews>
  <sheetFormatPr defaultColWidth="8.85546875" defaultRowHeight="12.75" x14ac:dyDescent="0.2"/>
  <cols>
    <col min="1" max="1" width="42.85546875" customWidth="1"/>
    <col min="2" max="2" width="21.85546875" customWidth="1"/>
    <col min="3" max="3" width="21.42578125" hidden="1" customWidth="1"/>
    <col min="4" max="4" width="19.5703125" customWidth="1"/>
    <col min="5" max="5" width="21.85546875" customWidth="1"/>
    <col min="6" max="6" width="19.5703125" customWidth="1"/>
    <col min="7" max="7" width="21.5703125" customWidth="1"/>
    <col min="8" max="10" width="19.5703125" customWidth="1"/>
    <col min="11" max="12" width="10.140625" bestFit="1" customWidth="1"/>
    <col min="13" max="13" width="12" bestFit="1" customWidth="1"/>
  </cols>
  <sheetData>
    <row r="2" spans="1:10" ht="13.5" thickBot="1" x14ac:dyDescent="0.25">
      <c r="A2" s="802"/>
      <c r="B2" s="801" t="s">
        <v>690</v>
      </c>
      <c r="C2" s="801" t="s">
        <v>730</v>
      </c>
      <c r="D2" s="801" t="s">
        <v>732</v>
      </c>
      <c r="E2" s="801" t="s">
        <v>732</v>
      </c>
      <c r="F2" s="801" t="s">
        <v>732</v>
      </c>
      <c r="G2" s="801" t="s">
        <v>732</v>
      </c>
      <c r="H2" s="801" t="s">
        <v>732</v>
      </c>
      <c r="I2" s="801" t="s">
        <v>732</v>
      </c>
      <c r="J2" s="801" t="s">
        <v>732</v>
      </c>
    </row>
    <row r="3" spans="1:10" x14ac:dyDescent="0.2">
      <c r="A3" s="796" t="s">
        <v>0</v>
      </c>
      <c r="B3" s="1173" t="s">
        <v>746</v>
      </c>
      <c r="C3" s="1173" t="s">
        <v>746</v>
      </c>
      <c r="D3" s="797"/>
      <c r="E3" s="797"/>
      <c r="F3" s="797"/>
      <c r="G3" s="797"/>
      <c r="H3" s="797"/>
      <c r="I3" s="797"/>
      <c r="J3" s="798"/>
    </row>
    <row r="4" spans="1:10" x14ac:dyDescent="0.2">
      <c r="A4" s="800" t="s">
        <v>86</v>
      </c>
      <c r="B4" s="1174" t="s">
        <v>49</v>
      </c>
      <c r="C4" s="1174" t="s">
        <v>49</v>
      </c>
      <c r="D4" s="1016"/>
      <c r="E4" s="1016"/>
      <c r="F4" s="1016"/>
      <c r="G4" s="1016"/>
      <c r="H4" s="1016"/>
      <c r="I4" s="1016"/>
      <c r="J4" s="985"/>
    </row>
    <row r="5" spans="1:10" ht="13.5" thickBot="1" x14ac:dyDescent="0.25">
      <c r="A5" s="1428" t="s">
        <v>747</v>
      </c>
      <c r="B5" s="1429" t="s">
        <v>748</v>
      </c>
      <c r="C5" s="1429" t="s">
        <v>748</v>
      </c>
      <c r="D5" s="1448"/>
      <c r="E5" s="1448"/>
      <c r="F5" s="1448"/>
      <c r="G5" s="1448"/>
      <c r="H5" s="1448"/>
      <c r="I5" s="1448"/>
      <c r="J5" s="1430"/>
    </row>
    <row r="6" spans="1:10" ht="13.5" hidden="1" thickBot="1" x14ac:dyDescent="0.25">
      <c r="A6" s="800" t="s">
        <v>73</v>
      </c>
      <c r="B6" s="1174" t="s">
        <v>49</v>
      </c>
      <c r="C6" s="1174" t="s">
        <v>49</v>
      </c>
      <c r="D6" s="1016" t="s">
        <v>74</v>
      </c>
      <c r="E6" s="1016" t="s">
        <v>91</v>
      </c>
      <c r="F6" s="1016" t="s">
        <v>74</v>
      </c>
      <c r="G6" s="1016" t="s">
        <v>741</v>
      </c>
      <c r="H6" s="1016" t="s">
        <v>743</v>
      </c>
      <c r="I6" s="1016" t="s">
        <v>87</v>
      </c>
      <c r="J6" s="985" t="s">
        <v>738</v>
      </c>
    </row>
    <row r="7" spans="1:10" ht="14.25" thickTop="1" thickBot="1" x14ac:dyDescent="0.25">
      <c r="A7" s="843" t="s">
        <v>640</v>
      </c>
      <c r="B7" s="1419"/>
      <c r="C7" s="1419"/>
      <c r="D7" s="1017"/>
      <c r="E7" s="1017"/>
      <c r="F7" s="1017"/>
      <c r="G7" s="1017"/>
      <c r="H7" s="1017"/>
      <c r="I7" s="1017"/>
      <c r="J7" s="1431"/>
    </row>
    <row r="8" spans="1:10" ht="13.5" thickTop="1" x14ac:dyDescent="0.2">
      <c r="A8" s="750" t="s">
        <v>2</v>
      </c>
      <c r="B8" s="1175">
        <v>175000</v>
      </c>
      <c r="C8" s="1175"/>
      <c r="D8" s="1108"/>
      <c r="E8" s="1108"/>
      <c r="F8" s="1108"/>
      <c r="G8" s="1108"/>
      <c r="H8" s="1465"/>
      <c r="I8" s="1108"/>
      <c r="J8" s="1468"/>
    </row>
    <row r="9" spans="1:10" x14ac:dyDescent="0.2">
      <c r="A9" s="750" t="s">
        <v>3</v>
      </c>
      <c r="B9" s="1019" t="s">
        <v>749</v>
      </c>
      <c r="C9" s="1019"/>
      <c r="D9" s="1019"/>
      <c r="E9" s="1019"/>
      <c r="F9" s="1019"/>
      <c r="G9" s="1019"/>
      <c r="H9" s="1019"/>
      <c r="I9" s="1466"/>
      <c r="J9" s="986"/>
    </row>
    <row r="10" spans="1:10" x14ac:dyDescent="0.2">
      <c r="A10" s="750" t="s">
        <v>80</v>
      </c>
      <c r="B10" s="1020" t="s">
        <v>77</v>
      </c>
      <c r="C10" s="1020"/>
      <c r="D10" s="1020"/>
      <c r="E10" s="1020"/>
      <c r="F10" s="1020"/>
      <c r="G10" s="1020"/>
      <c r="H10" s="1020"/>
      <c r="I10" s="1020"/>
      <c r="J10" s="987"/>
    </row>
    <row r="11" spans="1:10" x14ac:dyDescent="0.2">
      <c r="A11" s="750" t="s">
        <v>740</v>
      </c>
      <c r="B11" s="1020" t="s">
        <v>40</v>
      </c>
      <c r="C11" s="1020"/>
      <c r="D11" s="1020"/>
      <c r="E11" s="1020"/>
      <c r="F11" s="1020"/>
      <c r="G11" s="1020"/>
      <c r="H11" s="1467"/>
      <c r="I11" s="1020"/>
      <c r="J11" s="987"/>
    </row>
    <row r="12" spans="1:10" x14ac:dyDescent="0.2">
      <c r="A12" s="750" t="s">
        <v>4</v>
      </c>
      <c r="B12" s="1019" t="s">
        <v>749</v>
      </c>
      <c r="C12" s="1019"/>
      <c r="D12" s="1019"/>
      <c r="E12" s="1019"/>
      <c r="F12" s="1019"/>
      <c r="G12" s="1019"/>
      <c r="H12" s="1019"/>
      <c r="I12" s="1466"/>
      <c r="J12" s="986"/>
    </row>
    <row r="13" spans="1:10" x14ac:dyDescent="0.2">
      <c r="A13" s="750" t="s">
        <v>81</v>
      </c>
      <c r="B13" s="1177">
        <v>2000000</v>
      </c>
      <c r="C13" s="1177"/>
      <c r="D13" s="1020"/>
      <c r="E13" s="1020"/>
      <c r="F13" s="1020"/>
      <c r="G13" s="1020"/>
      <c r="H13" s="1020"/>
      <c r="I13" s="1020"/>
      <c r="J13" s="987"/>
    </row>
    <row r="14" spans="1:10" x14ac:dyDescent="0.2">
      <c r="A14" s="750" t="s">
        <v>572</v>
      </c>
      <c r="B14" s="1178">
        <v>1.25</v>
      </c>
      <c r="C14" s="1178"/>
      <c r="D14" s="1021"/>
      <c r="E14" s="1021"/>
      <c r="F14" s="1021"/>
      <c r="G14" s="1021"/>
      <c r="H14" s="1021"/>
      <c r="I14" s="1021"/>
      <c r="J14" s="988"/>
    </row>
    <row r="15" spans="1:10" x14ac:dyDescent="0.2">
      <c r="A15" s="750"/>
      <c r="B15" s="1176"/>
      <c r="C15" s="1176"/>
      <c r="D15" s="1019"/>
      <c r="E15" s="1019"/>
      <c r="F15" s="1019"/>
      <c r="G15" s="1019"/>
      <c r="H15" s="1019"/>
      <c r="I15" s="1019"/>
      <c r="J15" s="986"/>
    </row>
    <row r="16" spans="1:10" x14ac:dyDescent="0.2">
      <c r="A16" s="750" t="s">
        <v>750</v>
      </c>
      <c r="B16" s="1564">
        <v>122.91</v>
      </c>
      <c r="C16" s="1222"/>
      <c r="D16" s="1022"/>
      <c r="E16" s="1022"/>
      <c r="F16" s="1022"/>
      <c r="G16" s="1022"/>
      <c r="H16" s="1022"/>
      <c r="I16" s="1022"/>
      <c r="J16" s="1099"/>
    </row>
    <row r="17" spans="1:17" x14ac:dyDescent="0.2">
      <c r="A17" s="753" t="s">
        <v>751</v>
      </c>
      <c r="B17" s="1564">
        <v>122.91</v>
      </c>
      <c r="C17" s="1222"/>
      <c r="D17" s="1022"/>
      <c r="E17" s="1022"/>
      <c r="F17" s="1022"/>
      <c r="G17" s="1022"/>
      <c r="H17" s="1022"/>
      <c r="I17" s="1022"/>
      <c r="J17" s="1099"/>
    </row>
    <row r="18" spans="1:17" x14ac:dyDescent="0.2">
      <c r="A18" s="753"/>
      <c r="B18" s="1565"/>
      <c r="C18" s="1223"/>
      <c r="D18" s="1023"/>
      <c r="E18" s="1023"/>
      <c r="F18" s="1023"/>
      <c r="G18" s="1023"/>
      <c r="H18" s="1023"/>
      <c r="I18" s="1023"/>
      <c r="J18" s="1100"/>
    </row>
    <row r="19" spans="1:17" x14ac:dyDescent="0.2">
      <c r="A19" s="750" t="s">
        <v>5</v>
      </c>
      <c r="B19" s="1566"/>
      <c r="C19" s="1179"/>
      <c r="D19" s="1024"/>
      <c r="E19" s="1024"/>
      <c r="F19" s="1024"/>
      <c r="G19" s="1024"/>
      <c r="H19" s="1024"/>
      <c r="I19" s="1024"/>
      <c r="J19" s="989"/>
    </row>
    <row r="20" spans="1:17" ht="13.5" thickBot="1" x14ac:dyDescent="0.25">
      <c r="A20" s="756" t="s">
        <v>6</v>
      </c>
      <c r="B20" s="1567"/>
      <c r="C20" s="1224"/>
      <c r="D20" s="1025"/>
      <c r="E20" s="1025"/>
      <c r="F20" s="1025"/>
      <c r="G20" s="1025"/>
      <c r="H20" s="1025"/>
      <c r="I20" s="1025"/>
      <c r="J20" s="1101"/>
      <c r="L20" s="286"/>
      <c r="M20" s="286"/>
    </row>
    <row r="21" spans="1:17" ht="13.5" thickTop="1" x14ac:dyDescent="0.2">
      <c r="A21" s="750" t="s">
        <v>7</v>
      </c>
      <c r="B21" s="1564">
        <v>6.56</v>
      </c>
      <c r="C21" s="1184"/>
      <c r="D21" s="1026"/>
      <c r="E21" s="1026"/>
      <c r="F21" s="1026"/>
      <c r="G21" s="1026"/>
      <c r="H21" s="1026"/>
      <c r="I21" s="1026"/>
      <c r="J21" s="994"/>
      <c r="M21" s="286"/>
      <c r="O21" s="36"/>
      <c r="P21" s="36"/>
      <c r="Q21" s="36"/>
    </row>
    <row r="22" spans="1:17" x14ac:dyDescent="0.2">
      <c r="A22" s="750" t="s">
        <v>5</v>
      </c>
      <c r="B22" s="1566"/>
      <c r="C22" s="1179"/>
      <c r="D22" s="1024"/>
      <c r="E22" s="1024"/>
      <c r="F22" s="1024"/>
      <c r="G22" s="1024"/>
      <c r="H22" s="1024"/>
      <c r="I22" s="1024"/>
      <c r="J22" s="989"/>
      <c r="M22" s="36"/>
      <c r="P22" s="36"/>
      <c r="Q22" s="36"/>
    </row>
    <row r="23" spans="1:17" ht="13.5" thickBot="1" x14ac:dyDescent="0.25">
      <c r="A23" s="756" t="s">
        <v>6</v>
      </c>
      <c r="B23" s="1567"/>
      <c r="C23" s="1224"/>
      <c r="D23" s="1025"/>
      <c r="E23" s="1025"/>
      <c r="F23" s="1025"/>
      <c r="G23" s="1025"/>
      <c r="H23" s="1025"/>
      <c r="I23" s="1025"/>
      <c r="J23" s="1101"/>
    </row>
    <row r="24" spans="1:17" ht="14.25" hidden="1" thickTop="1" thickBot="1" x14ac:dyDescent="0.25">
      <c r="A24" s="750" t="s">
        <v>114</v>
      </c>
      <c r="B24" s="1225" t="s">
        <v>34</v>
      </c>
      <c r="C24" s="1225" t="s">
        <v>34</v>
      </c>
      <c r="D24" s="1027" t="s">
        <v>34</v>
      </c>
      <c r="E24" s="1027" t="s">
        <v>34</v>
      </c>
      <c r="F24" s="1027" t="s">
        <v>34</v>
      </c>
      <c r="G24" s="1027" t="s">
        <v>34</v>
      </c>
      <c r="H24" s="1027" t="s">
        <v>34</v>
      </c>
      <c r="I24" s="1027" t="s">
        <v>34</v>
      </c>
      <c r="J24" s="1102" t="s">
        <v>34</v>
      </c>
    </row>
    <row r="25" spans="1:17" ht="13.5" thickTop="1" x14ac:dyDescent="0.2">
      <c r="A25" s="757" t="s">
        <v>8</v>
      </c>
      <c r="B25" s="1568"/>
      <c r="C25" s="1180"/>
      <c r="D25" s="1028"/>
      <c r="E25" s="1028"/>
      <c r="F25" s="1028"/>
      <c r="G25" s="1028"/>
      <c r="H25" s="1028"/>
      <c r="I25" s="1028"/>
      <c r="J25" s="990"/>
    </row>
    <row r="26" spans="1:17" x14ac:dyDescent="0.2">
      <c r="A26" s="759" t="s">
        <v>9</v>
      </c>
      <c r="B26" s="1569">
        <v>1230.07</v>
      </c>
      <c r="C26" s="1181"/>
      <c r="D26" s="1030"/>
      <c r="E26" s="1030"/>
      <c r="F26" s="1030"/>
      <c r="G26" s="1030"/>
      <c r="H26" s="1030"/>
      <c r="I26" s="1030"/>
      <c r="J26" s="991"/>
    </row>
    <row r="27" spans="1:17" x14ac:dyDescent="0.2">
      <c r="A27" s="759" t="s">
        <v>10</v>
      </c>
      <c r="B27" s="1569">
        <v>1230.07</v>
      </c>
      <c r="C27" s="1181"/>
      <c r="D27" s="1030"/>
      <c r="E27" s="1030"/>
      <c r="F27" s="1030"/>
      <c r="G27" s="1030"/>
      <c r="H27" s="1030"/>
      <c r="I27" s="1030"/>
      <c r="J27" s="991"/>
    </row>
    <row r="28" spans="1:17" x14ac:dyDescent="0.2">
      <c r="A28" s="759" t="s">
        <v>11</v>
      </c>
      <c r="B28" s="1570"/>
      <c r="C28" s="1182"/>
      <c r="D28" s="1031"/>
      <c r="E28" s="1031"/>
      <c r="F28" s="1031"/>
      <c r="G28" s="1031"/>
      <c r="H28" s="1031"/>
      <c r="I28" s="1031"/>
      <c r="J28" s="993"/>
    </row>
    <row r="29" spans="1:17" ht="13.5" thickBot="1" x14ac:dyDescent="0.25">
      <c r="A29" s="760" t="s">
        <v>12</v>
      </c>
      <c r="B29" s="1571"/>
      <c r="C29" s="1183"/>
      <c r="D29" s="746"/>
      <c r="E29" s="746"/>
      <c r="F29" s="746"/>
      <c r="G29" s="746"/>
      <c r="H29" s="746"/>
      <c r="I29" s="746"/>
      <c r="J29" s="992"/>
      <c r="L29" s="748"/>
    </row>
    <row r="30" spans="1:17" ht="13.5" hidden="1" customHeight="1" thickTop="1" x14ac:dyDescent="0.25">
      <c r="A30" s="761" t="s">
        <v>448</v>
      </c>
      <c r="B30" s="1182">
        <f t="shared" ref="B30" si="0">B29/1.25</f>
        <v>0</v>
      </c>
      <c r="C30" s="1182">
        <f t="shared" ref="C30" si="1">C29/1.25</f>
        <v>0</v>
      </c>
      <c r="D30" s="1031">
        <f t="shared" ref="D30" si="2">D29/1.25</f>
        <v>0</v>
      </c>
      <c r="E30" s="1031">
        <f t="shared" ref="E30" si="3">E29/1.25</f>
        <v>0</v>
      </c>
      <c r="F30" s="1031">
        <f t="shared" ref="F30:G30" si="4">F29/1.25</f>
        <v>0</v>
      </c>
      <c r="G30" s="1031">
        <f t="shared" si="4"/>
        <v>0</v>
      </c>
      <c r="H30" s="1031">
        <f t="shared" ref="H30" si="5">H29/1.25</f>
        <v>0</v>
      </c>
      <c r="I30" s="1031">
        <f>I29/1.25</f>
        <v>0</v>
      </c>
      <c r="J30" s="993">
        <f t="shared" ref="J30" si="6">J29/1.25</f>
        <v>0</v>
      </c>
    </row>
    <row r="31" spans="1:17" ht="13.5" hidden="1" customHeight="1" thickBot="1" x14ac:dyDescent="0.25">
      <c r="A31" s="761" t="s">
        <v>117</v>
      </c>
      <c r="B31" s="1182">
        <v>9064280</v>
      </c>
      <c r="C31" s="1182">
        <v>9064280</v>
      </c>
      <c r="D31" s="1031">
        <v>9064280</v>
      </c>
      <c r="E31" s="1031">
        <v>9064280</v>
      </c>
      <c r="F31" s="1031">
        <v>9064280</v>
      </c>
      <c r="G31" s="1031">
        <v>9064280</v>
      </c>
      <c r="H31" s="1031">
        <v>9064280</v>
      </c>
      <c r="I31" s="1031">
        <v>9064280</v>
      </c>
      <c r="J31" s="993">
        <v>9064280</v>
      </c>
    </row>
    <row r="32" spans="1:17" ht="14.25" thickTop="1" thickBot="1" x14ac:dyDescent="0.25">
      <c r="A32" s="843" t="s">
        <v>641</v>
      </c>
      <c r="B32" s="1419"/>
      <c r="C32" s="1419"/>
      <c r="D32" s="1017"/>
      <c r="E32" s="1017"/>
      <c r="F32" s="1017"/>
      <c r="G32" s="1017"/>
      <c r="H32" s="1017"/>
      <c r="I32" s="1017"/>
      <c r="J32" s="1431"/>
    </row>
    <row r="33" spans="1:10" s="1563" customFormat="1" ht="13.5" thickTop="1" x14ac:dyDescent="0.2">
      <c r="A33" s="1559" t="s">
        <v>470</v>
      </c>
      <c r="B33" s="1560"/>
      <c r="C33" s="1560"/>
      <c r="D33" s="1561"/>
      <c r="E33" s="1561"/>
      <c r="F33" s="1561"/>
      <c r="G33" s="1561"/>
      <c r="H33" s="1561"/>
      <c r="I33" s="1561"/>
      <c r="J33" s="1562"/>
    </row>
    <row r="34" spans="1:10" s="1563" customFormat="1" x14ac:dyDescent="0.2">
      <c r="A34" s="1559" t="s">
        <v>744</v>
      </c>
      <c r="B34" s="1560"/>
      <c r="C34" s="1560"/>
      <c r="D34" s="1561"/>
      <c r="E34" s="1561"/>
      <c r="F34" s="1561"/>
      <c r="G34" s="1561"/>
      <c r="H34" s="1561"/>
      <c r="I34" s="1561"/>
      <c r="J34" s="1562"/>
    </row>
    <row r="35" spans="1:10" x14ac:dyDescent="0.2">
      <c r="A35" s="750" t="s">
        <v>469</v>
      </c>
      <c r="B35" s="1184"/>
      <c r="C35" s="1184"/>
      <c r="D35" s="1026"/>
      <c r="E35" s="1026"/>
      <c r="F35" s="1026"/>
      <c r="G35" s="1026"/>
      <c r="H35" s="1026"/>
      <c r="I35" s="1026"/>
      <c r="J35" s="994"/>
    </row>
    <row r="36" spans="1:10" x14ac:dyDescent="0.2">
      <c r="A36" s="750" t="s">
        <v>737</v>
      </c>
      <c r="B36" s="1184"/>
      <c r="C36" s="1184"/>
      <c r="D36" s="1026"/>
      <c r="E36" s="1026"/>
      <c r="F36" s="1026"/>
      <c r="G36" s="1026"/>
      <c r="H36" s="1026"/>
      <c r="I36" s="1026"/>
      <c r="J36" s="994"/>
    </row>
    <row r="37" spans="1:10" hidden="1" x14ac:dyDescent="0.2">
      <c r="A37" s="750" t="s">
        <v>668</v>
      </c>
      <c r="B37" s="1184"/>
      <c r="C37" s="1184"/>
      <c r="D37" s="1026"/>
      <c r="E37" s="1026"/>
      <c r="F37" s="1026"/>
      <c r="G37" s="1026"/>
      <c r="H37" s="1026"/>
      <c r="I37" s="1026"/>
      <c r="J37" s="994"/>
    </row>
    <row r="38" spans="1:10" x14ac:dyDescent="0.2">
      <c r="A38" s="750" t="s">
        <v>83</v>
      </c>
      <c r="B38" s="1184"/>
      <c r="C38" s="1184"/>
      <c r="D38" s="1026"/>
      <c r="E38" s="1026"/>
      <c r="F38" s="1026"/>
      <c r="G38" s="1026"/>
      <c r="H38" s="1026"/>
      <c r="I38" s="1026"/>
      <c r="J38" s="994"/>
    </row>
    <row r="39" spans="1:10" x14ac:dyDescent="0.2">
      <c r="A39" s="750" t="s">
        <v>42</v>
      </c>
      <c r="B39" s="1184"/>
      <c r="C39" s="1184"/>
      <c r="D39" s="1026"/>
      <c r="E39" s="1026"/>
      <c r="F39" s="1026"/>
      <c r="G39" s="1026"/>
      <c r="H39" s="1026"/>
      <c r="I39" s="1026"/>
      <c r="J39" s="994"/>
    </row>
    <row r="40" spans="1:10" x14ac:dyDescent="0.2">
      <c r="A40" s="750" t="s">
        <v>484</v>
      </c>
      <c r="B40" s="1184"/>
      <c r="C40" s="1184"/>
      <c r="D40" s="1026"/>
      <c r="E40" s="1026"/>
      <c r="F40" s="1026"/>
      <c r="G40" s="1026"/>
      <c r="H40" s="1026"/>
      <c r="I40" s="1026"/>
      <c r="J40" s="994"/>
    </row>
    <row r="41" spans="1:10" hidden="1" x14ac:dyDescent="0.2">
      <c r="A41" s="750" t="s">
        <v>17</v>
      </c>
      <c r="B41" s="1184"/>
      <c r="C41" s="1184"/>
      <c r="D41" s="1026"/>
      <c r="E41" s="1026"/>
      <c r="F41" s="1026"/>
      <c r="G41" s="1026"/>
      <c r="H41" s="1026"/>
      <c r="I41" s="1026"/>
      <c r="J41" s="994"/>
    </row>
    <row r="42" spans="1:10" hidden="1" x14ac:dyDescent="0.2">
      <c r="A42" s="750" t="s">
        <v>568</v>
      </c>
      <c r="B42" s="1184"/>
      <c r="C42" s="1184"/>
      <c r="D42" s="1026"/>
      <c r="E42" s="1026"/>
      <c r="F42" s="1026"/>
      <c r="G42" s="1026"/>
      <c r="H42" s="1026"/>
      <c r="I42" s="1026"/>
      <c r="J42" s="994"/>
    </row>
    <row r="43" spans="1:10" x14ac:dyDescent="0.2">
      <c r="A43" s="750" t="s">
        <v>84</v>
      </c>
      <c r="B43" s="1184"/>
      <c r="C43" s="1184"/>
      <c r="D43" s="1026"/>
      <c r="E43" s="1026"/>
      <c r="F43" s="1026"/>
      <c r="G43" s="1026"/>
      <c r="H43" s="1026"/>
      <c r="I43" s="1026"/>
      <c r="J43" s="994"/>
    </row>
    <row r="44" spans="1:10" ht="10.5" customHeight="1" x14ac:dyDescent="0.2">
      <c r="A44" s="750" t="s">
        <v>596</v>
      </c>
      <c r="B44" s="1184"/>
      <c r="C44" s="1184"/>
      <c r="D44" s="1026"/>
      <c r="E44" s="1026"/>
      <c r="F44" s="1026"/>
      <c r="G44" s="1026"/>
      <c r="H44" s="1026"/>
      <c r="I44" s="1026"/>
      <c r="J44" s="994"/>
    </row>
    <row r="45" spans="1:10" ht="13.5" thickBot="1" x14ac:dyDescent="0.25">
      <c r="A45" s="756" t="s">
        <v>742</v>
      </c>
      <c r="B45" s="1184"/>
      <c r="C45" s="1184"/>
      <c r="D45" s="1184"/>
      <c r="E45" s="1184"/>
      <c r="F45" s="1184"/>
      <c r="G45" s="1184"/>
      <c r="H45" s="1184"/>
      <c r="I45" s="1184"/>
      <c r="J45" s="994"/>
    </row>
    <row r="46" spans="1:10" ht="14.25" hidden="1" thickTop="1" thickBot="1" x14ac:dyDescent="0.25">
      <c r="A46" s="756" t="s">
        <v>669</v>
      </c>
      <c r="B46" s="1185" t="s">
        <v>630</v>
      </c>
      <c r="C46" s="1185"/>
      <c r="D46" s="1033"/>
      <c r="E46" s="1033"/>
      <c r="F46" s="1033"/>
      <c r="G46" s="1033"/>
      <c r="H46" s="1033"/>
      <c r="I46" s="1033"/>
      <c r="J46" s="995"/>
    </row>
    <row r="47" spans="1:10" ht="14.25" thickTop="1" thickBot="1" x14ac:dyDescent="0.25">
      <c r="A47" s="762" t="s">
        <v>5</v>
      </c>
      <c r="B47" s="1186"/>
      <c r="C47" s="1186"/>
      <c r="D47" s="1034"/>
      <c r="E47" s="1034"/>
      <c r="F47" s="1034"/>
      <c r="G47" s="1034"/>
      <c r="H47" s="1034"/>
      <c r="I47" s="1034"/>
      <c r="J47" s="996"/>
    </row>
    <row r="48" spans="1:10" ht="14.25" thickTop="1" thickBot="1" x14ac:dyDescent="0.25">
      <c r="A48" s="756" t="s">
        <v>6</v>
      </c>
      <c r="B48" s="1183"/>
      <c r="C48" s="1183"/>
      <c r="D48" s="746"/>
      <c r="E48" s="746"/>
      <c r="F48" s="746"/>
      <c r="G48" s="746"/>
      <c r="H48" s="746"/>
      <c r="I48" s="746"/>
      <c r="J48" s="992"/>
    </row>
    <row r="49" spans="1:14" ht="14.25" hidden="1" thickTop="1" thickBot="1" x14ac:dyDescent="0.25">
      <c r="A49" s="845" t="s">
        <v>597</v>
      </c>
      <c r="B49" s="1420"/>
      <c r="C49" s="1420"/>
      <c r="D49" s="1035"/>
      <c r="E49" s="1035"/>
      <c r="F49" s="1035"/>
      <c r="G49" s="1035"/>
      <c r="H49" s="1035"/>
      <c r="I49" s="1035"/>
      <c r="J49" s="1432"/>
    </row>
    <row r="50" spans="1:14" ht="13.5" thickTop="1" x14ac:dyDescent="0.2">
      <c r="A50" s="844" t="s">
        <v>644</v>
      </c>
      <c r="B50" s="1187"/>
      <c r="C50" s="1187"/>
      <c r="D50" s="1048"/>
      <c r="E50" s="1048"/>
      <c r="F50" s="1048"/>
      <c r="G50" s="1048"/>
      <c r="H50" s="1048"/>
      <c r="I50" s="1048"/>
      <c r="J50" s="1003"/>
    </row>
    <row r="51" spans="1:14" ht="13.5" thickBot="1" x14ac:dyDescent="0.25">
      <c r="A51" s="845" t="s">
        <v>14</v>
      </c>
      <c r="B51" s="1188"/>
      <c r="C51" s="1188"/>
      <c r="D51" s="1054"/>
      <c r="E51" s="1054"/>
      <c r="F51" s="1054"/>
      <c r="G51" s="1054"/>
      <c r="H51" s="1054"/>
      <c r="I51" s="1054"/>
      <c r="J51" s="1015"/>
      <c r="N51" s="286"/>
    </row>
    <row r="52" spans="1:14" ht="13.5" thickTop="1" x14ac:dyDescent="0.2">
      <c r="A52" s="846" t="s">
        <v>642</v>
      </c>
      <c r="B52" s="1189"/>
      <c r="C52" s="1189"/>
      <c r="D52" s="1036"/>
      <c r="E52" s="1036"/>
      <c r="F52" s="1036"/>
      <c r="G52" s="1036"/>
      <c r="H52" s="1036"/>
      <c r="I52" s="1036"/>
      <c r="J52" s="997"/>
    </row>
    <row r="53" spans="1:14" ht="13.5" thickBot="1" x14ac:dyDescent="0.25">
      <c r="A53" s="847" t="s">
        <v>643</v>
      </c>
      <c r="B53" s="1190"/>
      <c r="C53" s="1190"/>
      <c r="D53" s="1037"/>
      <c r="E53" s="1037"/>
      <c r="F53" s="1037"/>
      <c r="G53" s="1037"/>
      <c r="H53" s="1037"/>
      <c r="I53" s="1037"/>
      <c r="J53" s="998"/>
    </row>
    <row r="54" spans="1:14" ht="14.25" thickTop="1" thickBot="1" x14ac:dyDescent="0.25">
      <c r="A54" s="918" t="s">
        <v>519</v>
      </c>
      <c r="B54" s="1421"/>
      <c r="C54" s="1190"/>
      <c r="D54" s="1453"/>
      <c r="E54" s="1037"/>
      <c r="F54" s="1453"/>
      <c r="G54" s="1453"/>
      <c r="H54" s="1453"/>
      <c r="I54" s="1453"/>
      <c r="J54" s="1449"/>
    </row>
    <row r="55" spans="1:14" ht="15" customHeight="1" thickTop="1" thickBot="1" x14ac:dyDescent="0.25">
      <c r="A55" s="919" t="s">
        <v>520</v>
      </c>
      <c r="B55" s="1422"/>
      <c r="C55" s="1227"/>
      <c r="D55" s="1454"/>
      <c r="E55" s="1110"/>
      <c r="F55" s="1454"/>
      <c r="G55" s="1454"/>
      <c r="H55" s="1454"/>
      <c r="I55" s="1454"/>
      <c r="J55" s="1450"/>
    </row>
    <row r="56" spans="1:14" ht="14.25" hidden="1" customHeight="1" x14ac:dyDescent="0.25">
      <c r="A56" s="817" t="s">
        <v>561</v>
      </c>
      <c r="B56" s="1056"/>
      <c r="C56" s="1056"/>
      <c r="D56" s="1438"/>
      <c r="E56" s="1438"/>
      <c r="F56" s="1438"/>
      <c r="G56" s="1438"/>
      <c r="H56" s="1438"/>
      <c r="I56" s="1438"/>
      <c r="J56" s="1438"/>
    </row>
    <row r="57" spans="1:14" ht="12" hidden="1" customHeight="1" x14ac:dyDescent="0.25">
      <c r="A57" s="763" t="s">
        <v>483</v>
      </c>
      <c r="B57" s="999" t="s">
        <v>34</v>
      </c>
      <c r="C57" s="999" t="s">
        <v>34</v>
      </c>
      <c r="D57" s="1439" t="s">
        <v>34</v>
      </c>
      <c r="E57" s="1439" t="s">
        <v>34</v>
      </c>
      <c r="F57" s="1439" t="s">
        <v>34</v>
      </c>
      <c r="G57" s="1439" t="s">
        <v>34</v>
      </c>
      <c r="H57" s="1439" t="s">
        <v>34</v>
      </c>
      <c r="I57" s="1439" t="s">
        <v>34</v>
      </c>
      <c r="J57" s="1439" t="s">
        <v>34</v>
      </c>
    </row>
    <row r="58" spans="1:14" ht="12" hidden="1" customHeight="1" x14ac:dyDescent="0.25">
      <c r="A58" s="765" t="s">
        <v>526</v>
      </c>
      <c r="B58" s="1000" t="e">
        <f>#REF!</f>
        <v>#REF!</v>
      </c>
      <c r="C58" s="1000" t="e">
        <f>#REF!</f>
        <v>#REF!</v>
      </c>
      <c r="D58" s="1440" t="e">
        <f>I58</f>
        <v>#REF!</v>
      </c>
      <c r="E58" s="1440" t="e">
        <f>I58</f>
        <v>#REF!</v>
      </c>
      <c r="F58" s="1440" t="e">
        <f>D58</f>
        <v>#REF!</v>
      </c>
      <c r="G58" s="1440" t="e">
        <f>F58</f>
        <v>#REF!</v>
      </c>
      <c r="H58" s="1440" t="e">
        <f>D58</f>
        <v>#REF!</v>
      </c>
      <c r="I58" s="1440" t="e">
        <f>#REF!</f>
        <v>#REF!</v>
      </c>
      <c r="J58" s="1440" t="e">
        <f>G58</f>
        <v>#REF!</v>
      </c>
    </row>
    <row r="59" spans="1:14" ht="13.5" hidden="1" thickBot="1" x14ac:dyDescent="0.25">
      <c r="A59" s="767" t="s">
        <v>566</v>
      </c>
      <c r="B59" s="1001" t="s">
        <v>34</v>
      </c>
      <c r="C59" s="1001" t="s">
        <v>34</v>
      </c>
      <c r="D59" s="1441" t="s">
        <v>34</v>
      </c>
      <c r="E59" s="1441" t="s">
        <v>34</v>
      </c>
      <c r="F59" s="1441" t="s">
        <v>34</v>
      </c>
      <c r="G59" s="1441" t="s">
        <v>34</v>
      </c>
      <c r="H59" s="1441" t="s">
        <v>34</v>
      </c>
      <c r="I59" s="1441" t="s">
        <v>34</v>
      </c>
      <c r="J59" s="1441" t="s">
        <v>34</v>
      </c>
    </row>
    <row r="60" spans="1:14" ht="13.5" hidden="1" thickBot="1" x14ac:dyDescent="0.25">
      <c r="A60" s="750"/>
      <c r="B60" s="1002"/>
      <c r="C60" s="1002"/>
      <c r="D60" s="1442"/>
      <c r="E60" s="1442"/>
      <c r="F60" s="1442"/>
      <c r="G60" s="1442"/>
      <c r="H60" s="1442"/>
      <c r="I60" s="1442"/>
      <c r="J60" s="1442"/>
    </row>
    <row r="61" spans="1:14" ht="13.5" hidden="1" thickBot="1" x14ac:dyDescent="0.25">
      <c r="A61" s="743" t="s">
        <v>567</v>
      </c>
      <c r="B61" s="992" t="e">
        <f t="shared" ref="B61:F61" si="7">B48+B58</f>
        <v>#REF!</v>
      </c>
      <c r="C61" s="992" t="e">
        <f t="shared" si="7"/>
        <v>#REF!</v>
      </c>
      <c r="D61" s="1443" t="e">
        <f>D48+D58</f>
        <v>#REF!</v>
      </c>
      <c r="E61" s="1443" t="e">
        <f t="shared" si="7"/>
        <v>#REF!</v>
      </c>
      <c r="F61" s="1443" t="e">
        <f t="shared" si="7"/>
        <v>#REF!</v>
      </c>
      <c r="G61" s="1443" t="e">
        <f t="shared" ref="G61:J61" si="8">G48+G58</f>
        <v>#REF!</v>
      </c>
      <c r="H61" s="1443" t="e">
        <f>H48+H58</f>
        <v>#REF!</v>
      </c>
      <c r="I61" s="1443" t="e">
        <f>I48+I58</f>
        <v>#REF!</v>
      </c>
      <c r="J61" s="1443" t="e">
        <f t="shared" si="8"/>
        <v>#REF!</v>
      </c>
    </row>
    <row r="62" spans="1:14" ht="13.5" hidden="1" thickBot="1" x14ac:dyDescent="0.25">
      <c r="A62" s="743" t="s">
        <v>102</v>
      </c>
      <c r="B62" s="1057" t="e">
        <f>(#REF!-B61)/-#REF!</f>
        <v>#REF!</v>
      </c>
      <c r="C62" s="1057" t="e">
        <f>(#REF!-C61)/-#REF!</f>
        <v>#REF!</v>
      </c>
      <c r="D62" s="1444" t="e">
        <f>(#REF!-D61)/-#REF!</f>
        <v>#REF!</v>
      </c>
      <c r="E62" s="1444" t="e">
        <f>(#REF!-E61)/-#REF!</f>
        <v>#REF!</v>
      </c>
      <c r="F62" s="1444" t="e">
        <f>(#REF!-F61)/-#REF!</f>
        <v>#REF!</v>
      </c>
      <c r="G62" s="1444" t="e">
        <f>(#REF!-G61)/-#REF!</f>
        <v>#REF!</v>
      </c>
      <c r="H62" s="1444" t="e">
        <f>(#REF!-H61)/-#REF!</f>
        <v>#REF!</v>
      </c>
      <c r="I62" s="1444" t="e">
        <f>(#REF!-I61)/-#REF!</f>
        <v>#REF!</v>
      </c>
      <c r="J62" s="1444" t="e">
        <f>(#REF!-J61)/-#REF!</f>
        <v>#REF!</v>
      </c>
    </row>
    <row r="63" spans="1:14" ht="13.5" hidden="1" thickBot="1" x14ac:dyDescent="0.25">
      <c r="A63" s="744" t="s">
        <v>119</v>
      </c>
      <c r="B63" s="1058" t="e">
        <f>B61-#REF!</f>
        <v>#REF!</v>
      </c>
      <c r="C63" s="1058" t="e">
        <f>C61-#REF!</f>
        <v>#REF!</v>
      </c>
      <c r="D63" s="1445" t="e">
        <f>D61-I61</f>
        <v>#REF!</v>
      </c>
      <c r="E63" s="1445" t="e">
        <f>E61-I61</f>
        <v>#REF!</v>
      </c>
      <c r="F63" s="1445" t="e">
        <f>F61-D61</f>
        <v>#REF!</v>
      </c>
      <c r="G63" s="1445" t="e">
        <f>G61-F61</f>
        <v>#REF!</v>
      </c>
      <c r="H63" s="1445" t="e">
        <f>H61-D61</f>
        <v>#REF!</v>
      </c>
      <c r="I63" s="1445" t="e">
        <f>I61-#REF!</f>
        <v>#REF!</v>
      </c>
      <c r="J63" s="1445" t="e">
        <f>J61-G61</f>
        <v>#REF!</v>
      </c>
    </row>
    <row r="64" spans="1:14" ht="13.5" hidden="1" thickBot="1" x14ac:dyDescent="0.25">
      <c r="A64" s="743" t="s">
        <v>152</v>
      </c>
      <c r="B64" s="992" t="e">
        <f>B30+B51+#REF!</f>
        <v>#REF!</v>
      </c>
      <c r="C64" s="992" t="e">
        <f>C30+C51+#REF!</f>
        <v>#REF!</v>
      </c>
      <c r="D64" s="1443" t="e">
        <f>D30+D51+#REF!</f>
        <v>#REF!</v>
      </c>
      <c r="E64" s="1443" t="e">
        <f>E30+E51+#REF!</f>
        <v>#REF!</v>
      </c>
      <c r="F64" s="1443" t="e">
        <f>F30+F51+#REF!</f>
        <v>#REF!</v>
      </c>
      <c r="G64" s="1443" t="e">
        <f>G30+G51+#REF!</f>
        <v>#REF!</v>
      </c>
      <c r="H64" s="1443" t="e">
        <f>H30+H51+#REF!</f>
        <v>#REF!</v>
      </c>
      <c r="I64" s="1443" t="e">
        <f>I30+I51+#REF!</f>
        <v>#REF!</v>
      </c>
      <c r="J64" s="1443" t="e">
        <f>J30+J51+#REF!</f>
        <v>#REF!</v>
      </c>
    </row>
    <row r="65" spans="1:10" ht="13.5" hidden="1" thickBot="1" x14ac:dyDescent="0.25">
      <c r="A65" s="743" t="s">
        <v>100</v>
      </c>
      <c r="B65" s="1059" t="e">
        <f>B61-#REF!</f>
        <v>#REF!</v>
      </c>
      <c r="C65" s="1059" t="e">
        <f>C61-#REF!</f>
        <v>#REF!</v>
      </c>
      <c r="D65" s="1446" t="e">
        <f>D61-#REF!</f>
        <v>#REF!</v>
      </c>
      <c r="E65" s="1446" t="e">
        <f>E61-#REF!</f>
        <v>#REF!</v>
      </c>
      <c r="F65" s="1446" t="e">
        <f>F61-#REF!</f>
        <v>#REF!</v>
      </c>
      <c r="G65" s="1446" t="e">
        <f>G61-#REF!</f>
        <v>#REF!</v>
      </c>
      <c r="H65" s="1446" t="e">
        <f>H61-#REF!</f>
        <v>#REF!</v>
      </c>
      <c r="I65" s="1446" t="e">
        <f>I61-#REF!</f>
        <v>#REF!</v>
      </c>
      <c r="J65" s="1446" t="e">
        <f>J61-#REF!</f>
        <v>#REF!</v>
      </c>
    </row>
    <row r="66" spans="1:10" ht="15" hidden="1" customHeight="1" thickTop="1" thickBot="1" x14ac:dyDescent="0.25">
      <c r="A66" s="744" t="s">
        <v>101</v>
      </c>
      <c r="B66" s="1170" t="e">
        <f>B65/#REF!</f>
        <v>#REF!</v>
      </c>
      <c r="C66" s="1170" t="e">
        <f>C65/#REF!</f>
        <v>#REF!</v>
      </c>
      <c r="D66" s="1447" t="e">
        <f>D65/#REF!</f>
        <v>#REF!</v>
      </c>
      <c r="E66" s="1447" t="e">
        <f>E65/#REF!</f>
        <v>#REF!</v>
      </c>
      <c r="F66" s="1447" t="e">
        <f>F65/#REF!</f>
        <v>#REF!</v>
      </c>
      <c r="G66" s="1447" t="e">
        <f>G65/#REF!</f>
        <v>#REF!</v>
      </c>
      <c r="H66" s="1447" t="e">
        <f>H65/#REF!</f>
        <v>#REF!</v>
      </c>
      <c r="I66" s="1447" t="e">
        <f>I65/#REF!</f>
        <v>#REF!</v>
      </c>
      <c r="J66" s="1447" t="e">
        <f>J65/#REF!</f>
        <v>#REF!</v>
      </c>
    </row>
    <row r="67" spans="1:10" ht="13.5" thickBot="1" x14ac:dyDescent="0.25">
      <c r="A67" s="1469"/>
      <c r="B67" s="748"/>
      <c r="C67" s="748"/>
      <c r="D67" s="1240"/>
      <c r="E67" s="1240"/>
      <c r="F67" s="1240"/>
      <c r="G67" s="1240"/>
      <c r="H67" s="1240"/>
      <c r="I67" s="1240"/>
      <c r="J67" s="1240"/>
    </row>
    <row r="68" spans="1:10" ht="13.5" hidden="1" thickBot="1" x14ac:dyDescent="0.25">
      <c r="A68" s="751" t="s">
        <v>16</v>
      </c>
      <c r="B68" s="752" t="s">
        <v>15</v>
      </c>
      <c r="C68" s="770"/>
      <c r="D68" s="1437"/>
      <c r="E68" s="1437"/>
      <c r="F68" s="1437"/>
      <c r="G68" s="1437"/>
      <c r="H68" s="1437"/>
      <c r="I68" s="1437"/>
      <c r="J68" s="1437"/>
    </row>
    <row r="69" spans="1:10" ht="13.5" hidden="1" thickBot="1" x14ac:dyDescent="0.25">
      <c r="A69" s="751" t="s">
        <v>464</v>
      </c>
      <c r="B69" s="752"/>
      <c r="C69" s="770"/>
      <c r="D69" s="1437"/>
      <c r="E69" s="1437"/>
      <c r="F69" s="1437"/>
      <c r="G69" s="1437"/>
      <c r="H69" s="1437"/>
      <c r="I69" s="1437"/>
      <c r="J69" s="1437"/>
    </row>
    <row r="70" spans="1:10" ht="13.5" hidden="1" thickBot="1" x14ac:dyDescent="0.25">
      <c r="A70" s="751" t="s">
        <v>585</v>
      </c>
      <c r="B70" s="752"/>
      <c r="C70" s="751"/>
      <c r="D70" s="1437"/>
      <c r="E70" s="1437"/>
      <c r="F70" s="1437"/>
      <c r="G70" s="1437"/>
      <c r="H70" s="1437"/>
      <c r="I70" s="1437"/>
      <c r="J70" s="1437"/>
    </row>
    <row r="71" spans="1:10" ht="13.5" hidden="1" thickBot="1" x14ac:dyDescent="0.25">
      <c r="A71" s="751" t="s">
        <v>586</v>
      </c>
      <c r="B71" s="752"/>
      <c r="C71" s="770"/>
      <c r="D71" s="1437"/>
      <c r="E71" s="1437"/>
      <c r="F71" s="1437"/>
      <c r="G71" s="1437"/>
      <c r="H71" s="1437"/>
      <c r="I71" s="1437"/>
      <c r="J71" s="1437"/>
    </row>
    <row r="72" spans="1:10" ht="13.5" hidden="1" thickBot="1" x14ac:dyDescent="0.25">
      <c r="A72" s="751" t="s">
        <v>745</v>
      </c>
      <c r="B72" s="752"/>
      <c r="C72" s="751"/>
      <c r="D72" s="751"/>
      <c r="E72" s="751"/>
      <c r="F72" s="751"/>
      <c r="G72" s="751"/>
      <c r="H72" s="751"/>
      <c r="I72" s="751"/>
      <c r="J72" s="751"/>
    </row>
    <row r="73" spans="1:10" ht="25.5" customHeight="1" thickBot="1" x14ac:dyDescent="0.25">
      <c r="A73" s="1470" t="s">
        <v>563</v>
      </c>
      <c r="B73" s="1471" t="str">
        <f t="shared" ref="B73:C73" si="9">B6</f>
        <v>UHC</v>
      </c>
      <c r="C73" s="1471" t="str">
        <f t="shared" si="9"/>
        <v>UHC</v>
      </c>
      <c r="D73" s="1472"/>
      <c r="E73" s="1471"/>
      <c r="F73" s="1471"/>
      <c r="G73" s="1471"/>
      <c r="H73" s="1471"/>
      <c r="I73" s="1471"/>
      <c r="J73" s="1473"/>
    </row>
    <row r="74" spans="1:10" s="1563" customFormat="1" x14ac:dyDescent="0.2">
      <c r="A74" s="1572" t="s">
        <v>370</v>
      </c>
      <c r="B74" s="1573"/>
      <c r="C74" s="1574"/>
      <c r="D74" s="1574"/>
      <c r="E74" s="1574"/>
      <c r="F74" s="1574"/>
      <c r="G74" s="1574"/>
      <c r="H74" s="1574"/>
      <c r="I74" s="1574"/>
      <c r="J74" s="1575"/>
    </row>
    <row r="75" spans="1:10" x14ac:dyDescent="0.2">
      <c r="A75" s="763" t="s">
        <v>371</v>
      </c>
      <c r="B75" s="913"/>
      <c r="C75" s="1192"/>
      <c r="D75" s="914"/>
      <c r="E75" s="1192"/>
      <c r="F75" s="1192"/>
      <c r="G75" s="1192"/>
      <c r="H75" s="1192"/>
      <c r="I75" s="1192"/>
      <c r="J75" s="773"/>
    </row>
    <row r="76" spans="1:10" x14ac:dyDescent="0.2">
      <c r="A76" s="763" t="s">
        <v>381</v>
      </c>
      <c r="B76" s="913"/>
      <c r="C76" s="1192"/>
      <c r="D76" s="914"/>
      <c r="E76" s="1192"/>
      <c r="F76" s="1192"/>
      <c r="G76" s="1192"/>
      <c r="H76" s="1192"/>
      <c r="I76" s="1192"/>
      <c r="J76" s="773"/>
    </row>
    <row r="77" spans="1:10" x14ac:dyDescent="0.2">
      <c r="A77" s="765" t="s">
        <v>420</v>
      </c>
      <c r="B77" s="913"/>
      <c r="C77" s="1424"/>
      <c r="D77" s="1458"/>
      <c r="E77" s="1424"/>
      <c r="F77" s="1424"/>
      <c r="G77" s="1424"/>
      <c r="H77" s="1424"/>
      <c r="I77" s="1424"/>
      <c r="J77" s="1474"/>
    </row>
    <row r="78" spans="1:10" x14ac:dyDescent="0.2">
      <c r="A78" s="763" t="s">
        <v>372</v>
      </c>
      <c r="B78" s="913"/>
      <c r="C78" s="1191"/>
      <c r="D78" s="913"/>
      <c r="E78" s="1191"/>
      <c r="F78" s="1191"/>
      <c r="G78" s="1191"/>
      <c r="H78" s="1191"/>
      <c r="I78" s="1191"/>
      <c r="J78" s="771"/>
    </row>
    <row r="79" spans="1:10" x14ac:dyDescent="0.2">
      <c r="A79" s="763" t="s">
        <v>736</v>
      </c>
      <c r="B79" s="913"/>
      <c r="C79" s="913"/>
      <c r="D79" s="1460"/>
      <c r="E79" s="913"/>
      <c r="F79" s="1461"/>
      <c r="G79" s="1461"/>
      <c r="H79" s="1461"/>
      <c r="I79" s="913"/>
      <c r="J79" s="1475"/>
    </row>
    <row r="80" spans="1:10" x14ac:dyDescent="0.2">
      <c r="A80" s="763" t="s">
        <v>739</v>
      </c>
      <c r="B80" s="913"/>
      <c r="C80" s="913"/>
      <c r="D80" s="913"/>
      <c r="E80" s="913"/>
      <c r="F80" s="913"/>
      <c r="G80" s="913"/>
      <c r="H80" s="913"/>
      <c r="I80" s="913"/>
      <c r="J80" s="771"/>
    </row>
    <row r="81" spans="1:10" ht="24.75" customHeight="1" x14ac:dyDescent="0.2">
      <c r="A81" s="763" t="s">
        <v>374</v>
      </c>
      <c r="B81" s="1423"/>
      <c r="C81" s="1423"/>
      <c r="D81" s="1434"/>
      <c r="E81" s="1423"/>
      <c r="F81" s="1423"/>
      <c r="G81" s="1423"/>
      <c r="H81" s="1423"/>
      <c r="I81" s="1423"/>
      <c r="J81" s="1476"/>
    </row>
    <row r="82" spans="1:10" ht="15" customHeight="1" x14ac:dyDescent="0.2">
      <c r="A82" s="763" t="s">
        <v>387</v>
      </c>
      <c r="B82" s="1427"/>
      <c r="C82" s="1427"/>
      <c r="D82" s="1435"/>
      <c r="E82" s="1427"/>
      <c r="F82" s="1427"/>
      <c r="G82" s="1427"/>
      <c r="H82" s="1427"/>
      <c r="I82" s="1427"/>
      <c r="J82" s="1477"/>
    </row>
    <row r="83" spans="1:10" ht="37.5" hidden="1" customHeight="1" x14ac:dyDescent="0.2">
      <c r="A83" s="750" t="s">
        <v>528</v>
      </c>
      <c r="B83" s="1451"/>
      <c r="C83" s="1426"/>
      <c r="D83" s="1425"/>
      <c r="E83" s="1451"/>
      <c r="F83" s="1451"/>
      <c r="G83" s="1451"/>
      <c r="H83" s="1451"/>
      <c r="I83" s="1451"/>
      <c r="J83" s="1426"/>
    </row>
    <row r="84" spans="1:10" x14ac:dyDescent="0.2">
      <c r="A84" s="765" t="s">
        <v>377</v>
      </c>
      <c r="B84" s="1148"/>
      <c r="C84" s="1137"/>
      <c r="D84" s="1137"/>
      <c r="E84" s="1137"/>
      <c r="F84" s="1137"/>
      <c r="G84" s="1137"/>
      <c r="H84" s="1137"/>
      <c r="I84" s="1137"/>
      <c r="J84" s="1132"/>
    </row>
    <row r="85" spans="1:10" ht="14.25" customHeight="1" x14ac:dyDescent="0.2">
      <c r="A85" s="750"/>
      <c r="B85" s="1452"/>
      <c r="C85" s="1436"/>
      <c r="D85" s="1436"/>
      <c r="E85" s="1436"/>
      <c r="F85" s="1436"/>
      <c r="G85" s="1436"/>
      <c r="H85" s="1436"/>
      <c r="I85" s="1436"/>
      <c r="J85" s="1478"/>
    </row>
    <row r="86" spans="1:10" x14ac:dyDescent="0.2">
      <c r="A86" s="750"/>
      <c r="B86" s="1150"/>
      <c r="C86" s="1138"/>
      <c r="D86" s="1138"/>
      <c r="E86" s="1138"/>
      <c r="F86" s="1138"/>
      <c r="G86" s="1138"/>
      <c r="H86" s="1138"/>
      <c r="I86" s="1150"/>
      <c r="J86" s="1133"/>
    </row>
    <row r="87" spans="1:10" x14ac:dyDescent="0.2">
      <c r="A87" s="750"/>
      <c r="B87" s="1150"/>
      <c r="C87" s="1138"/>
      <c r="D87" s="1138"/>
      <c r="E87" s="1138"/>
      <c r="F87" s="1138"/>
      <c r="G87" s="1138"/>
      <c r="H87" s="1138"/>
      <c r="I87" s="1150"/>
      <c r="J87" s="1133"/>
    </row>
    <row r="88" spans="1:10" x14ac:dyDescent="0.2">
      <c r="A88" s="750"/>
      <c r="B88" s="1150"/>
      <c r="C88" s="1138"/>
      <c r="D88" s="1138"/>
      <c r="E88" s="1138"/>
      <c r="F88" s="1138"/>
      <c r="G88" s="1138"/>
      <c r="H88" s="1138"/>
      <c r="I88" s="1150"/>
      <c r="J88" s="1133"/>
    </row>
    <row r="89" spans="1:10" x14ac:dyDescent="0.2">
      <c r="A89" s="1433"/>
      <c r="B89" s="1149"/>
      <c r="C89" s="1139"/>
      <c r="D89" s="1139"/>
      <c r="E89" s="1149"/>
      <c r="F89" s="1149"/>
      <c r="G89" s="1149"/>
      <c r="H89" s="1149"/>
      <c r="I89" s="1149"/>
      <c r="J89" s="1134"/>
    </row>
    <row r="90" spans="1:10" ht="23.25" customHeight="1" x14ac:dyDescent="0.2">
      <c r="A90" s="765" t="s">
        <v>426</v>
      </c>
      <c r="B90" s="1150"/>
      <c r="C90" s="1150"/>
      <c r="D90" s="1138"/>
      <c r="E90" s="1150"/>
      <c r="F90" s="1150"/>
      <c r="G90" s="1150"/>
      <c r="H90" s="1150"/>
      <c r="I90" s="1150"/>
      <c r="J90" s="1133"/>
    </row>
    <row r="91" spans="1:10" ht="13.5" customHeight="1" x14ac:dyDescent="0.2">
      <c r="A91" s="763" t="s">
        <v>574</v>
      </c>
      <c r="B91" s="1155"/>
      <c r="C91" s="1155"/>
      <c r="D91" s="1159"/>
      <c r="E91" s="1155"/>
      <c r="F91" s="1155"/>
      <c r="G91" s="1155"/>
      <c r="H91" s="1155"/>
      <c r="I91" s="1155"/>
      <c r="J91" s="1152"/>
    </row>
    <row r="92" spans="1:10" x14ac:dyDescent="0.2">
      <c r="A92" s="763" t="s">
        <v>731</v>
      </c>
      <c r="B92" s="1455"/>
      <c r="C92" s="1455"/>
      <c r="D92" s="1456"/>
      <c r="E92" s="1455"/>
      <c r="F92" s="1455"/>
      <c r="G92" s="1455"/>
      <c r="H92" s="1455"/>
      <c r="I92" s="1455"/>
      <c r="J92" s="1479"/>
    </row>
    <row r="93" spans="1:10" x14ac:dyDescent="0.2">
      <c r="A93" s="750" t="s">
        <v>733</v>
      </c>
      <c r="B93" s="1155"/>
      <c r="C93" s="1155"/>
      <c r="D93" s="1159"/>
      <c r="E93" s="1155"/>
      <c r="F93" s="1155"/>
      <c r="G93" s="1155"/>
      <c r="H93" s="1155"/>
      <c r="I93" s="1464"/>
      <c r="J93" s="1479"/>
    </row>
    <row r="94" spans="1:10" x14ac:dyDescent="0.2">
      <c r="A94" s="763" t="s">
        <v>734</v>
      </c>
      <c r="B94" s="1455"/>
      <c r="C94" s="1455"/>
      <c r="D94" s="1456"/>
      <c r="E94" s="1455"/>
      <c r="F94" s="1455"/>
      <c r="G94" s="1455"/>
      <c r="H94" s="1455"/>
      <c r="I94" s="1455"/>
      <c r="J94" s="1479"/>
    </row>
    <row r="95" spans="1:10" ht="13.5" thickBot="1" x14ac:dyDescent="0.25">
      <c r="A95" s="1462" t="s">
        <v>735</v>
      </c>
      <c r="B95" s="1480"/>
      <c r="C95" s="1480"/>
      <c r="D95" s="1459"/>
      <c r="E95" s="1480"/>
      <c r="F95" s="1459"/>
      <c r="G95" s="1459"/>
      <c r="H95" s="1459"/>
      <c r="I95" s="1480"/>
      <c r="J95" s="1457"/>
    </row>
    <row r="96" spans="1:10" x14ac:dyDescent="0.2">
      <c r="A96" s="754"/>
      <c r="B96" s="788"/>
      <c r="C96" s="788"/>
      <c r="D96" s="788"/>
      <c r="E96" s="788"/>
      <c r="F96" s="788"/>
      <c r="G96" s="788"/>
      <c r="H96" s="788"/>
      <c r="I96" s="788"/>
      <c r="J96" s="788"/>
    </row>
    <row r="97" spans="1:10" ht="26.1" customHeight="1" thickBot="1" x14ac:dyDescent="0.25">
      <c r="A97" s="781"/>
      <c r="B97" s="912"/>
      <c r="C97" s="912"/>
      <c r="D97" s="912"/>
      <c r="E97" s="912"/>
      <c r="F97" s="912"/>
      <c r="G97" s="912"/>
      <c r="H97" s="912"/>
      <c r="I97" s="912"/>
      <c r="J97" s="912"/>
    </row>
    <row r="98" spans="1:10" ht="13.5" thickBot="1" x14ac:dyDescent="0.25">
      <c r="A98" s="781"/>
      <c r="B98" s="791"/>
      <c r="C98" s="791"/>
      <c r="D98" s="791"/>
      <c r="E98" s="791"/>
      <c r="F98" s="791"/>
      <c r="G98" s="791"/>
      <c r="H98" s="791"/>
      <c r="I98" s="791"/>
      <c r="J98" s="791"/>
    </row>
    <row r="100" spans="1:10" x14ac:dyDescent="0.2">
      <c r="B100" s="1463"/>
      <c r="C100" s="1463"/>
      <c r="D100" s="1463"/>
      <c r="E100" s="1463"/>
      <c r="F100" s="1463"/>
      <c r="G100" s="1463"/>
      <c r="H100" s="1463"/>
      <c r="I100" s="1463"/>
      <c r="J100" s="1463"/>
    </row>
    <row r="101" spans="1:10" x14ac:dyDescent="0.2">
      <c r="B101" s="1463"/>
      <c r="C101" s="1463"/>
      <c r="D101" s="1463"/>
      <c r="E101" s="1463"/>
      <c r="F101" s="1463"/>
      <c r="G101" s="1463"/>
      <c r="H101" s="1463"/>
      <c r="I101" s="1463"/>
      <c r="J101" s="1463"/>
    </row>
    <row r="102" spans="1:10" x14ac:dyDescent="0.2">
      <c r="B102" s="1463"/>
      <c r="C102" s="1463"/>
      <c r="D102" s="1463"/>
      <c r="E102" s="1463"/>
      <c r="F102" s="1463"/>
      <c r="G102" s="1463"/>
      <c r="H102" s="1463"/>
      <c r="I102" s="1463"/>
      <c r="J102" s="1463"/>
    </row>
    <row r="103" spans="1:10" x14ac:dyDescent="0.2">
      <c r="B103" s="1463"/>
      <c r="C103" s="1463"/>
      <c r="D103" s="1463"/>
      <c r="E103" s="1463"/>
      <c r="F103" s="1463"/>
      <c r="G103" s="1463"/>
      <c r="H103" s="1463"/>
      <c r="I103" s="1463"/>
      <c r="J103" s="1463"/>
    </row>
    <row r="104" spans="1:10" x14ac:dyDescent="0.2">
      <c r="A104" s="78"/>
      <c r="B104" s="1463"/>
      <c r="C104" s="1463"/>
      <c r="D104" s="1463"/>
      <c r="E104" s="1463"/>
      <c r="F104" s="1463"/>
      <c r="G104" s="1463"/>
      <c r="H104" s="1463"/>
      <c r="I104" s="1463"/>
      <c r="J104" s="1463"/>
    </row>
    <row r="105" spans="1:10" x14ac:dyDescent="0.2">
      <c r="A105" s="78"/>
      <c r="B105" s="1463"/>
      <c r="C105" s="1463"/>
      <c r="D105" s="1463"/>
      <c r="E105" s="1463"/>
      <c r="F105" s="1463"/>
      <c r="G105" s="1463"/>
      <c r="H105" s="1463"/>
      <c r="I105" s="1463"/>
      <c r="J105" s="1463"/>
    </row>
    <row r="106" spans="1:10" x14ac:dyDescent="0.2">
      <c r="B106" s="1463"/>
      <c r="C106" s="1463"/>
      <c r="D106" s="1463"/>
      <c r="E106" s="1463"/>
      <c r="F106" s="1463"/>
      <c r="G106" s="1463"/>
      <c r="H106" s="1463"/>
      <c r="I106" s="1463"/>
      <c r="J106" s="1463"/>
    </row>
    <row r="107" spans="1:10" x14ac:dyDescent="0.2">
      <c r="B107" s="1463"/>
      <c r="C107" s="1463"/>
      <c r="D107" s="1463"/>
      <c r="E107" s="1463"/>
      <c r="F107" s="1463"/>
      <c r="G107" s="1463"/>
      <c r="H107" s="1463"/>
      <c r="I107" s="1463"/>
      <c r="J107" s="1463"/>
    </row>
    <row r="108" spans="1:10" x14ac:dyDescent="0.2">
      <c r="B108" s="1463"/>
      <c r="C108" s="1463"/>
      <c r="D108" s="1463"/>
      <c r="E108" s="1463"/>
      <c r="F108" s="1463"/>
      <c r="G108" s="1463"/>
      <c r="H108" s="1463"/>
      <c r="I108" s="1463"/>
      <c r="J108" s="1463"/>
    </row>
    <row r="109" spans="1:10" x14ac:dyDescent="0.2">
      <c r="B109" s="1463"/>
      <c r="C109" s="1463"/>
      <c r="D109" s="1463"/>
      <c r="E109" s="1463"/>
      <c r="F109" s="1463"/>
      <c r="G109" s="1463"/>
      <c r="H109" s="1463"/>
      <c r="I109" s="1463"/>
      <c r="J109" s="1463"/>
    </row>
  </sheetData>
  <phoneticPr fontId="1" type="noConversion"/>
  <printOptions horizontalCentered="1"/>
  <pageMargins left="0.17" right="0" top="1.35" bottom="0.28000000000000003" header="0.56000000000000005" footer="0.05"/>
  <pageSetup paperSize="5" scale="74" orientation="landscape" r:id="rId1"/>
  <headerFooter alignWithMargins="0">
    <oddHeader>&amp;C&amp;"-,Bold"&amp;14
 TPA AND STOP LOSS
 RFP RESULTS</oddHeader>
  </headerFooter>
  <rowBreaks count="1" manualBreakCount="1">
    <brk id="72"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L91"/>
  <sheetViews>
    <sheetView zoomScaleNormal="100" workbookViewId="0">
      <selection activeCell="D8" sqref="D8"/>
    </sheetView>
  </sheetViews>
  <sheetFormatPr defaultColWidth="8.85546875" defaultRowHeight="12.75" x14ac:dyDescent="0.2"/>
  <cols>
    <col min="1" max="1" width="48.85546875" customWidth="1"/>
    <col min="2" max="5" width="12.42578125" customWidth="1"/>
    <col min="6" max="7" width="13.140625" hidden="1" customWidth="1"/>
    <col min="8" max="8" width="12.42578125" hidden="1" customWidth="1"/>
    <col min="9" max="9" width="12.28515625" hidden="1" customWidth="1"/>
  </cols>
  <sheetData>
    <row r="1" spans="1:11" x14ac:dyDescent="0.2">
      <c r="A1" s="495"/>
      <c r="B1" s="495"/>
      <c r="C1" s="495"/>
      <c r="D1" s="495"/>
      <c r="E1" s="495"/>
      <c r="F1" s="495"/>
      <c r="G1" s="495"/>
      <c r="H1" s="495"/>
      <c r="I1" s="803" t="s">
        <v>373</v>
      </c>
    </row>
    <row r="2" spans="1:11" ht="13.5" thickBot="1" x14ac:dyDescent="0.25">
      <c r="A2" s="804" t="s">
        <v>663</v>
      </c>
      <c r="B2" s="803"/>
      <c r="C2" s="803" t="s">
        <v>108</v>
      </c>
      <c r="D2" s="803" t="s">
        <v>108</v>
      </c>
      <c r="E2" s="803" t="s">
        <v>108</v>
      </c>
      <c r="F2" s="803"/>
      <c r="G2" s="803"/>
      <c r="H2" s="803"/>
      <c r="I2" s="803" t="s">
        <v>108</v>
      </c>
    </row>
    <row r="3" spans="1:11" x14ac:dyDescent="0.2">
      <c r="A3" s="922"/>
      <c r="B3" s="923" t="s">
        <v>690</v>
      </c>
      <c r="C3" s="923" t="s">
        <v>691</v>
      </c>
      <c r="D3" s="970" t="s">
        <v>703</v>
      </c>
      <c r="E3" s="924" t="s">
        <v>692</v>
      </c>
      <c r="F3" s="1269" t="s">
        <v>693</v>
      </c>
      <c r="G3" s="924" t="s">
        <v>694</v>
      </c>
      <c r="H3" s="803"/>
      <c r="I3" s="1005"/>
      <c r="J3" s="1009"/>
      <c r="K3" s="1009"/>
    </row>
    <row r="4" spans="1:11" x14ac:dyDescent="0.2">
      <c r="A4" s="925" t="s">
        <v>688</v>
      </c>
      <c r="B4" s="805" t="s">
        <v>49</v>
      </c>
      <c r="C4" s="805" t="s">
        <v>49</v>
      </c>
      <c r="D4" s="971" t="s">
        <v>74</v>
      </c>
      <c r="E4" s="926" t="s">
        <v>598</v>
      </c>
      <c r="F4" s="1270" t="s">
        <v>91</v>
      </c>
      <c r="G4" s="926" t="s">
        <v>87</v>
      </c>
      <c r="H4" s="1093" t="s">
        <v>49</v>
      </c>
      <c r="I4" s="971" t="s">
        <v>486</v>
      </c>
      <c r="J4" s="1009"/>
      <c r="K4" s="1009"/>
    </row>
    <row r="5" spans="1:11" x14ac:dyDescent="0.2">
      <c r="A5" s="927" t="s">
        <v>666</v>
      </c>
      <c r="B5" s="807">
        <f>'2018 Renewal - Fixed Fees'!B64</f>
        <v>245144.04000000004</v>
      </c>
      <c r="C5" s="807">
        <f>'2018 Renewal - Fixed Fees'!C64</f>
        <v>176069.88</v>
      </c>
      <c r="D5" s="972">
        <f>'2018 Renewal - Fixed Fees'!D45</f>
        <v>194915.28</v>
      </c>
      <c r="E5" s="929">
        <f>'2018 Renewal - Fixed Fees'!E45</f>
        <v>191336.68</v>
      </c>
      <c r="F5" s="1271">
        <f>'2018 Renewal - Fixed Fees'!F45</f>
        <v>39999.000000000015</v>
      </c>
      <c r="G5" s="929">
        <f>'2018 Renewal - Fixed Fees'!G45</f>
        <v>379292.51999999996</v>
      </c>
      <c r="H5" s="1094">
        <f>'2018 Renewal - Fixed Fees'!E45</f>
        <v>191336.68</v>
      </c>
      <c r="I5" s="1119">
        <f>'2018 Renewal - Fixed Fees'!F45</f>
        <v>39999.000000000015</v>
      </c>
      <c r="J5" s="1126"/>
      <c r="K5" s="1009"/>
    </row>
    <row r="6" spans="1:11" x14ac:dyDescent="0.2">
      <c r="A6" s="927" t="s">
        <v>702</v>
      </c>
      <c r="B6" s="808" t="s">
        <v>34</v>
      </c>
      <c r="C6" s="808" t="s">
        <v>34</v>
      </c>
      <c r="D6" s="972">
        <f>'2018 Renewal - Fixed Fees'!E46</f>
        <v>61286.010000000009</v>
      </c>
      <c r="E6" s="929">
        <f>'2018 Renewal - Fixed Fees'!D46</f>
        <v>61286.010000000009</v>
      </c>
      <c r="F6" s="1271">
        <f>'2018 Renewal - Fixed Fees'!F46</f>
        <v>61286.010000000009</v>
      </c>
      <c r="G6" s="929">
        <f>'2018 Renewal - Fixed Fees'!G46</f>
        <v>61286.010000000009</v>
      </c>
      <c r="H6" s="1094"/>
      <c r="I6" s="1119"/>
      <c r="J6" s="1126"/>
      <c r="K6" s="1009"/>
    </row>
    <row r="7" spans="1:11" x14ac:dyDescent="0.2">
      <c r="A7" s="927" t="s">
        <v>667</v>
      </c>
      <c r="B7" s="808" t="e">
        <f>'Stop Loss Analysis'!#REF!+'Stop Loss Analysis'!#REF!</f>
        <v>#REF!</v>
      </c>
      <c r="C7" s="808" t="e">
        <f>'Stop Loss Analysis'!#REF!+'Stop Loss Analysis'!#REF!</f>
        <v>#REF!</v>
      </c>
      <c r="D7" s="973" t="e">
        <f>E7</f>
        <v>#REF!</v>
      </c>
      <c r="E7" s="1279" t="e">
        <f>'Stop Loss Analysis'!#REF!+'Stop Loss Analysis'!#REF!</f>
        <v>#REF!</v>
      </c>
      <c r="F7" s="1272" t="e">
        <f>'Stop Loss Analysis'!#REF!+'Stop Loss Analysis'!#REF!</f>
        <v>#REF!</v>
      </c>
      <c r="G7" s="928" t="e">
        <f>'Stop Loss Analysis'!#REF!+'Stop Loss Analysis'!#REF!</f>
        <v>#REF!</v>
      </c>
      <c r="H7" s="1094"/>
      <c r="I7" s="1119"/>
      <c r="J7" s="1126"/>
      <c r="K7" s="1009"/>
    </row>
    <row r="8" spans="1:11" x14ac:dyDescent="0.2">
      <c r="A8" s="927" t="s">
        <v>708</v>
      </c>
      <c r="B8" s="807">
        <v>151803</v>
      </c>
      <c r="C8" s="807">
        <f>B8-80695</f>
        <v>71108</v>
      </c>
      <c r="D8" s="974">
        <v>20996</v>
      </c>
      <c r="E8" s="1280">
        <v>26922</v>
      </c>
      <c r="F8" s="1273">
        <f>B8*'Proposal Analysis'!G33</f>
        <v>112039.51274615923</v>
      </c>
      <c r="G8" s="928" t="s">
        <v>537</v>
      </c>
      <c r="H8" s="1094">
        <f>Pharmacy!E42</f>
        <v>1739132</v>
      </c>
      <c r="I8" s="1119" t="e">
        <f>Pharmacy!#REF!</f>
        <v>#REF!</v>
      </c>
      <c r="J8" s="1126"/>
      <c r="K8" s="1009"/>
    </row>
    <row r="9" spans="1:11" x14ac:dyDescent="0.2">
      <c r="A9" s="930" t="s">
        <v>697</v>
      </c>
      <c r="B9" s="873" t="str">
        <f>Pharmacy!B44</f>
        <v>n/a</v>
      </c>
      <c r="C9" s="873" t="s">
        <v>34</v>
      </c>
      <c r="D9" s="975">
        <f>Pharmacy!C44</f>
        <v>123369</v>
      </c>
      <c r="E9" s="1281">
        <f>Pharmacy!D44</f>
        <v>-101121</v>
      </c>
      <c r="F9" s="1274">
        <f>Pharmacy!E44</f>
        <v>245710</v>
      </c>
      <c r="G9" s="931" t="s">
        <v>537</v>
      </c>
      <c r="H9" s="1095"/>
      <c r="I9" s="1120"/>
      <c r="J9" s="1126"/>
      <c r="K9" s="1009"/>
    </row>
    <row r="10" spans="1:11" ht="13.5" thickBot="1" x14ac:dyDescent="0.25">
      <c r="A10" s="932" t="s">
        <v>701</v>
      </c>
      <c r="B10" s="933" t="s">
        <v>34</v>
      </c>
      <c r="C10" s="933" t="s">
        <v>34</v>
      </c>
      <c r="D10" s="976">
        <f>'Network Disruption'!C57-'Network Disruption'!B57</f>
        <v>-305445</v>
      </c>
      <c r="E10" s="1282">
        <f>'Network Disruption'!D57-'Network Disruption'!B57</f>
        <v>-131275.16000000015</v>
      </c>
      <c r="F10" s="1275">
        <f>F42*-1</f>
        <v>-123804.08499042504</v>
      </c>
      <c r="G10" s="934" t="s">
        <v>537</v>
      </c>
      <c r="H10" s="1095"/>
      <c r="I10" s="1120"/>
      <c r="J10" s="1126"/>
      <c r="K10" s="1009"/>
    </row>
    <row r="11" spans="1:11" x14ac:dyDescent="0.2">
      <c r="A11" s="954" t="s">
        <v>687</v>
      </c>
      <c r="B11" s="955" t="e">
        <f>SUM(B5:B8)</f>
        <v>#REF!</v>
      </c>
      <c r="C11" s="955" t="e">
        <f>SUM(C5:C10)</f>
        <v>#REF!</v>
      </c>
      <c r="D11" s="977" t="e">
        <f>SUM(D5:D10)</f>
        <v>#REF!</v>
      </c>
      <c r="E11" s="956" t="e">
        <f>SUM(E5:E10)</f>
        <v>#REF!</v>
      </c>
      <c r="F11" s="1276" t="e">
        <f>SUM(F5:F10)</f>
        <v>#REF!</v>
      </c>
      <c r="G11" s="956" t="e">
        <f>SUM(G5:G10)</f>
        <v>#REF!</v>
      </c>
      <c r="H11" s="1095">
        <f>SUM(H5:H5)</f>
        <v>191336.68</v>
      </c>
      <c r="I11" s="1120" t="s">
        <v>373</v>
      </c>
      <c r="J11" s="1126"/>
      <c r="K11" s="1009"/>
    </row>
    <row r="12" spans="1:11" x14ac:dyDescent="0.2">
      <c r="A12" s="957" t="s">
        <v>689</v>
      </c>
      <c r="B12" s="958" t="s">
        <v>34</v>
      </c>
      <c r="C12" s="959" t="e">
        <f>C11-B11</f>
        <v>#REF!</v>
      </c>
      <c r="D12" s="978" t="e">
        <f>D11-B11</f>
        <v>#REF!</v>
      </c>
      <c r="E12" s="1283" t="e">
        <f>E11-B11</f>
        <v>#REF!</v>
      </c>
      <c r="F12" s="1277" t="e">
        <f>F11-B11</f>
        <v>#REF!</v>
      </c>
      <c r="G12" s="960" t="e">
        <f>G11-B11</f>
        <v>#REF!</v>
      </c>
      <c r="H12" s="1094" t="e">
        <f>H11-C11</f>
        <v>#REF!</v>
      </c>
      <c r="I12" s="1119" t="s">
        <v>373</v>
      </c>
      <c r="J12" s="1126"/>
      <c r="K12" s="1009"/>
    </row>
    <row r="13" spans="1:11" ht="13.5" thickBot="1" x14ac:dyDescent="0.25">
      <c r="A13" s="961" t="s">
        <v>700</v>
      </c>
      <c r="B13" s="962" t="s">
        <v>34</v>
      </c>
      <c r="C13" s="963" t="e">
        <f>C12/B11</f>
        <v>#REF!</v>
      </c>
      <c r="D13" s="979" t="e">
        <f>D12/B11</f>
        <v>#REF!</v>
      </c>
      <c r="E13" s="964" t="e">
        <f>E12/B11</f>
        <v>#REF!</v>
      </c>
      <c r="F13" s="1278" t="e">
        <f>F12/C11</f>
        <v>#REF!</v>
      </c>
      <c r="G13" s="964" t="e">
        <f>G12/C11</f>
        <v>#REF!</v>
      </c>
      <c r="H13" s="1096" t="e">
        <f>H12/C11</f>
        <v>#REF!</v>
      </c>
      <c r="I13" s="1121" t="s">
        <v>373</v>
      </c>
      <c r="J13" s="1009"/>
      <c r="K13" s="1009"/>
    </row>
    <row r="14" spans="1:11" ht="5.25" hidden="1" customHeight="1" thickBot="1" x14ac:dyDescent="0.25">
      <c r="A14" s="920"/>
      <c r="B14" s="921"/>
      <c r="C14" s="921"/>
      <c r="D14" s="921"/>
      <c r="E14" s="1013"/>
      <c r="F14" s="1013"/>
      <c r="G14" s="921"/>
      <c r="H14" s="820"/>
      <c r="I14" s="1122"/>
      <c r="J14" s="1009"/>
      <c r="K14" s="1009"/>
    </row>
    <row r="15" spans="1:11" hidden="1" x14ac:dyDescent="0.2">
      <c r="A15" s="818" t="s">
        <v>557</v>
      </c>
      <c r="B15" s="819" t="s">
        <v>49</v>
      </c>
      <c r="C15" s="819" t="s">
        <v>49</v>
      </c>
      <c r="D15" s="980" t="s">
        <v>74</v>
      </c>
      <c r="E15" s="980" t="s">
        <v>598</v>
      </c>
      <c r="F15" s="819" t="s">
        <v>91</v>
      </c>
      <c r="G15" s="819" t="s">
        <v>87</v>
      </c>
      <c r="H15" s="980" t="s">
        <v>49</v>
      </c>
      <c r="I15" s="980" t="s">
        <v>486</v>
      </c>
      <c r="J15" s="1009"/>
      <c r="K15" s="1009"/>
    </row>
    <row r="16" spans="1:11" hidden="1" x14ac:dyDescent="0.2">
      <c r="A16" s="806" t="s">
        <v>558</v>
      </c>
      <c r="B16" s="807" t="e">
        <f>#REF!</f>
        <v>#REF!</v>
      </c>
      <c r="C16" s="807" t="e">
        <f>#REF!</f>
        <v>#REF!</v>
      </c>
      <c r="D16" s="972" t="e">
        <f>#REF!</f>
        <v>#REF!</v>
      </c>
      <c r="E16" s="972" t="e">
        <f>#REF!</f>
        <v>#REF!</v>
      </c>
      <c r="F16" s="822" t="e">
        <f>#REF!</f>
        <v>#REF!</v>
      </c>
      <c r="G16" s="807" t="e">
        <f>#REF!</f>
        <v>#REF!</v>
      </c>
      <c r="H16" s="972" t="e">
        <f>#REF!</f>
        <v>#REF!</v>
      </c>
      <c r="I16" s="1119" t="e">
        <f>#REF!</f>
        <v>#REF!</v>
      </c>
      <c r="J16" s="1009"/>
      <c r="K16" s="1009"/>
    </row>
    <row r="17" spans="1:11" hidden="1" x14ac:dyDescent="0.2">
      <c r="A17" s="806" t="s">
        <v>559</v>
      </c>
      <c r="B17" s="807">
        <f t="shared" ref="B17:I17" si="0">B8</f>
        <v>151803</v>
      </c>
      <c r="C17" s="807">
        <f t="shared" si="0"/>
        <v>71108</v>
      </c>
      <c r="D17" s="972">
        <f>D8</f>
        <v>20996</v>
      </c>
      <c r="E17" s="972">
        <f t="shared" si="0"/>
        <v>26922</v>
      </c>
      <c r="F17" s="822">
        <f t="shared" si="0"/>
        <v>112039.51274615923</v>
      </c>
      <c r="G17" s="807" t="str">
        <f t="shared" si="0"/>
        <v>Not Provided</v>
      </c>
      <c r="H17" s="972">
        <f t="shared" si="0"/>
        <v>1739132</v>
      </c>
      <c r="I17" s="1119" t="e">
        <f t="shared" si="0"/>
        <v>#REF!</v>
      </c>
      <c r="J17" s="1009"/>
      <c r="K17" s="1009"/>
    </row>
    <row r="18" spans="1:11" hidden="1" x14ac:dyDescent="0.2">
      <c r="A18" s="806" t="s">
        <v>551</v>
      </c>
      <c r="B18" s="809" t="e">
        <f>#REF!</f>
        <v>#REF!</v>
      </c>
      <c r="C18" s="809" t="e">
        <f>#REF!</f>
        <v>#REF!</v>
      </c>
      <c r="D18" s="981" t="e">
        <f>#REF!</f>
        <v>#REF!</v>
      </c>
      <c r="E18" s="981" t="e">
        <f>#REF!</f>
        <v>#REF!</v>
      </c>
      <c r="F18" s="823" t="e">
        <f>#REF!</f>
        <v>#REF!</v>
      </c>
      <c r="G18" s="809" t="e">
        <f>#REF!</f>
        <v>#REF!</v>
      </c>
      <c r="H18" s="981" t="e">
        <f>#REF!</f>
        <v>#REF!</v>
      </c>
      <c r="I18" s="1123" t="e">
        <f>#REF!</f>
        <v>#REF!</v>
      </c>
      <c r="J18" s="1009"/>
      <c r="K18" s="1009"/>
    </row>
    <row r="19" spans="1:11" hidden="1" x14ac:dyDescent="0.2">
      <c r="A19" s="806" t="s">
        <v>550</v>
      </c>
      <c r="B19" s="807">
        <f t="shared" ref="B19:C19" si="1">B5</f>
        <v>245144.04000000004</v>
      </c>
      <c r="C19" s="807">
        <f t="shared" si="1"/>
        <v>176069.88</v>
      </c>
      <c r="D19" s="972">
        <f>D5</f>
        <v>194915.28</v>
      </c>
      <c r="E19" s="972">
        <f>E5</f>
        <v>191336.68</v>
      </c>
      <c r="F19" s="822">
        <f t="shared" ref="F19:I19" si="2">F5</f>
        <v>39999.000000000015</v>
      </c>
      <c r="G19" s="807">
        <f t="shared" si="2"/>
        <v>379292.51999999996</v>
      </c>
      <c r="H19" s="972">
        <f t="shared" si="2"/>
        <v>191336.68</v>
      </c>
      <c r="I19" s="1119">
        <f t="shared" si="2"/>
        <v>39999.000000000015</v>
      </c>
      <c r="J19" s="1009"/>
      <c r="K19" s="1009"/>
    </row>
    <row r="20" spans="1:11" ht="14.25" hidden="1" customHeight="1" x14ac:dyDescent="0.2">
      <c r="A20" s="815" t="s">
        <v>556</v>
      </c>
      <c r="B20" s="807">
        <v>0</v>
      </c>
      <c r="C20" s="807">
        <v>0</v>
      </c>
      <c r="D20" s="972">
        <v>0</v>
      </c>
      <c r="E20" s="972">
        <v>0</v>
      </c>
      <c r="F20" s="823">
        <f>'2018 Renewal - Fixed Fees'!I54</f>
        <v>-110000</v>
      </c>
      <c r="G20" s="809">
        <f>'2018 Renewal - Fixed Fees'!D54</f>
        <v>-20000</v>
      </c>
      <c r="H20" s="981">
        <f>'2018 Renewal - Fixed Fees'!E54</f>
        <v>-25000</v>
      </c>
      <c r="I20" s="1123">
        <f>'2018 Renewal - Fixed Fees'!F54</f>
        <v>-93244</v>
      </c>
      <c r="J20" s="1009"/>
      <c r="K20" s="1009"/>
    </row>
    <row r="21" spans="1:11" ht="12.75" hidden="1" customHeight="1" thickBot="1" x14ac:dyDescent="0.25">
      <c r="A21" s="816" t="s">
        <v>555</v>
      </c>
      <c r="B21" s="810">
        <v>0</v>
      </c>
      <c r="C21" s="810">
        <v>0</v>
      </c>
      <c r="D21" s="982">
        <v>0</v>
      </c>
      <c r="E21" s="982">
        <v>0</v>
      </c>
      <c r="F21" s="824">
        <f>G21</f>
        <v>37061</v>
      </c>
      <c r="G21" s="810">
        <f>'2018 Renewal - Fixed Fees'!I52</f>
        <v>37061</v>
      </c>
      <c r="H21" s="982">
        <f>F21</f>
        <v>37061</v>
      </c>
      <c r="I21" s="1124">
        <f>H21</f>
        <v>37061</v>
      </c>
      <c r="J21" s="1009"/>
      <c r="K21" s="1009"/>
    </row>
    <row r="22" spans="1:11" hidden="1" x14ac:dyDescent="0.2">
      <c r="A22" s="811" t="s">
        <v>552</v>
      </c>
      <c r="B22" s="812" t="e">
        <f>SUM(B16:B21)</f>
        <v>#REF!</v>
      </c>
      <c r="C22" s="812" t="e">
        <f>SUM(C16:C21)</f>
        <v>#REF!</v>
      </c>
      <c r="D22" s="983" t="e">
        <f>SUM(D16:D21)</f>
        <v>#REF!</v>
      </c>
      <c r="E22" s="983" t="e">
        <f>SUM(E16:E21)</f>
        <v>#REF!</v>
      </c>
      <c r="F22" s="825" t="e">
        <f>SUM(F16:F21)</f>
        <v>#REF!</v>
      </c>
      <c r="G22" s="812" t="e">
        <f t="shared" ref="G22:H22" si="3">SUM(G16:G21)</f>
        <v>#REF!</v>
      </c>
      <c r="H22" s="983" t="e">
        <f t="shared" si="3"/>
        <v>#REF!</v>
      </c>
      <c r="I22" s="1119" t="s">
        <v>373</v>
      </c>
      <c r="J22" s="1009"/>
      <c r="K22" s="1009"/>
    </row>
    <row r="23" spans="1:11" hidden="1" x14ac:dyDescent="0.2">
      <c r="A23" s="806" t="s">
        <v>553</v>
      </c>
      <c r="B23" s="813" t="s">
        <v>34</v>
      </c>
      <c r="C23" s="813" t="s">
        <v>34</v>
      </c>
      <c r="D23" s="984" t="s">
        <v>34</v>
      </c>
      <c r="E23" s="984" t="s">
        <v>34</v>
      </c>
      <c r="F23" s="823" t="e">
        <f>F22-C22</f>
        <v>#REF!</v>
      </c>
      <c r="G23" s="809" t="e">
        <f>G22-C22</f>
        <v>#REF!</v>
      </c>
      <c r="H23" s="972" t="e">
        <f>H22-C22</f>
        <v>#REF!</v>
      </c>
      <c r="I23" s="1119" t="s">
        <v>373</v>
      </c>
      <c r="J23" s="1009"/>
      <c r="K23" s="1009"/>
    </row>
    <row r="24" spans="1:11" hidden="1" x14ac:dyDescent="0.2">
      <c r="A24" s="806" t="s">
        <v>554</v>
      </c>
      <c r="B24" s="813" t="s">
        <v>34</v>
      </c>
      <c r="C24" s="813" t="s">
        <v>34</v>
      </c>
      <c r="D24" s="984" t="s">
        <v>34</v>
      </c>
      <c r="E24" s="1121" t="s">
        <v>34</v>
      </c>
      <c r="F24" s="826" t="e">
        <f>F23/C22</f>
        <v>#REF!</v>
      </c>
      <c r="G24" s="814" t="e">
        <f>G23/C22</f>
        <v>#REF!</v>
      </c>
      <c r="H24" s="1097" t="e">
        <f>H23/C22</f>
        <v>#REF!</v>
      </c>
      <c r="I24" s="984" t="s">
        <v>373</v>
      </c>
      <c r="J24" s="1009"/>
      <c r="K24" s="1009"/>
    </row>
    <row r="25" spans="1:11" x14ac:dyDescent="0.2">
      <c r="A25" s="495"/>
      <c r="B25" s="495"/>
      <c r="C25" s="495"/>
      <c r="D25" s="495"/>
      <c r="E25" s="495"/>
      <c r="F25" s="495"/>
      <c r="G25" s="495"/>
      <c r="H25" s="495"/>
      <c r="I25" s="1014"/>
      <c r="J25" s="1009"/>
      <c r="K25" s="1009"/>
    </row>
    <row r="26" spans="1:11" hidden="1" x14ac:dyDescent="0.2">
      <c r="A26" s="495"/>
      <c r="B26" s="495"/>
      <c r="C26" s="495"/>
      <c r="D26" s="495"/>
      <c r="E26" s="1014"/>
      <c r="F26" s="1014"/>
      <c r="G26" s="495"/>
      <c r="H26" s="495"/>
      <c r="I26" s="1014"/>
      <c r="J26" s="1009"/>
      <c r="K26" s="1009"/>
    </row>
    <row r="27" spans="1:11" ht="40.5" customHeight="1" x14ac:dyDescent="0.2">
      <c r="A27" s="1494" t="s">
        <v>704</v>
      </c>
      <c r="B27" s="1494"/>
      <c r="C27" s="1494"/>
      <c r="D27" s="1494"/>
      <c r="E27" s="1495"/>
      <c r="F27" s="1495"/>
      <c r="G27" s="1494"/>
      <c r="H27" s="936"/>
      <c r="I27" s="1023"/>
      <c r="J27" s="1009"/>
      <c r="K27" s="1009"/>
    </row>
    <row r="28" spans="1:11" x14ac:dyDescent="0.2">
      <c r="E28" s="1009"/>
      <c r="F28" s="1009"/>
      <c r="I28" s="1009"/>
      <c r="J28" s="1009"/>
      <c r="K28" s="1009"/>
    </row>
    <row r="29" spans="1:11" x14ac:dyDescent="0.2">
      <c r="E29" s="1009"/>
      <c r="F29" s="1009"/>
      <c r="I29" s="1009"/>
      <c r="J29" s="1009"/>
      <c r="K29" s="1009"/>
    </row>
    <row r="30" spans="1:11" x14ac:dyDescent="0.2">
      <c r="A30" s="78" t="s">
        <v>695</v>
      </c>
      <c r="E30" s="1009"/>
      <c r="F30" s="1009"/>
      <c r="I30" s="1009"/>
      <c r="J30" s="1009"/>
      <c r="K30" s="1009"/>
    </row>
    <row r="31" spans="1:11" x14ac:dyDescent="0.2">
      <c r="E31" s="1009"/>
      <c r="F31" s="1009"/>
      <c r="I31" s="1009"/>
      <c r="J31" s="1009"/>
      <c r="K31" s="1009"/>
    </row>
    <row r="32" spans="1:11" x14ac:dyDescent="0.2">
      <c r="C32">
        <v>1703572</v>
      </c>
      <c r="D32">
        <v>1424519</v>
      </c>
      <c r="E32" s="1009">
        <f>C32-K32</f>
        <v>800915</v>
      </c>
      <c r="F32" s="1009">
        <v>446236</v>
      </c>
      <c r="G32">
        <f>C32-F32</f>
        <v>1257336</v>
      </c>
      <c r="I32" s="1009"/>
      <c r="J32" s="1009"/>
      <c r="K32" s="1009">
        <v>902657</v>
      </c>
    </row>
    <row r="33" spans="4:11" x14ac:dyDescent="0.2">
      <c r="E33" s="1009"/>
      <c r="F33" s="1009"/>
      <c r="G33">
        <f>G32/C32</f>
        <v>0.73805862035769543</v>
      </c>
      <c r="I33" s="1009"/>
      <c r="J33" s="1009"/>
      <c r="K33" s="1009"/>
    </row>
    <row r="34" spans="4:11" x14ac:dyDescent="0.2">
      <c r="D34">
        <f>27.2%</f>
        <v>0.27200000000000002</v>
      </c>
      <c r="E34" s="1009">
        <f>27.2%</f>
        <v>0.27200000000000002</v>
      </c>
      <c r="F34" s="1009">
        <f>D34</f>
        <v>0.27200000000000002</v>
      </c>
      <c r="I34" s="1009"/>
      <c r="J34" s="1009"/>
      <c r="K34" s="1009"/>
    </row>
    <row r="35" spans="4:11" x14ac:dyDescent="0.2">
      <c r="E35" s="1009"/>
      <c r="F35" s="1009"/>
      <c r="I35" s="1009"/>
      <c r="J35" s="1009"/>
      <c r="K35" s="1009"/>
    </row>
    <row r="36" spans="4:11" x14ac:dyDescent="0.2">
      <c r="D36">
        <f>D32*D34</f>
        <v>387469.16800000001</v>
      </c>
      <c r="E36" s="1009">
        <f>E32*E34</f>
        <v>217848.88</v>
      </c>
      <c r="F36" s="1009">
        <f>F32*F34</f>
        <v>121376.19200000001</v>
      </c>
      <c r="I36" s="1009"/>
      <c r="J36" s="1009"/>
      <c r="K36" s="1009"/>
    </row>
    <row r="37" spans="4:11" x14ac:dyDescent="0.2">
      <c r="E37" s="1009"/>
      <c r="F37" s="1009"/>
      <c r="I37" s="1009"/>
      <c r="J37" s="1009"/>
      <c r="K37" s="1009"/>
    </row>
    <row r="38" spans="4:11" x14ac:dyDescent="0.2">
      <c r="D38">
        <v>0.56000000000000005</v>
      </c>
      <c r="E38" s="1009">
        <f>'Network Disruption'!D76</f>
        <v>0.54883513619942137</v>
      </c>
      <c r="F38" s="1009">
        <f>'Network Disruption'!I76</f>
        <v>0.54944082725379628</v>
      </c>
      <c r="I38" s="1009"/>
      <c r="J38" s="1009"/>
      <c r="K38" s="1009"/>
    </row>
    <row r="39" spans="4:11" x14ac:dyDescent="0.2">
      <c r="E39" s="1009"/>
      <c r="F39" s="1009"/>
      <c r="I39" s="1009"/>
      <c r="J39" s="1009"/>
      <c r="K39" s="1009"/>
    </row>
    <row r="40" spans="4:11" x14ac:dyDescent="0.2">
      <c r="D40">
        <f>D38*D32</f>
        <v>797730.64000000013</v>
      </c>
      <c r="E40" s="1009">
        <f>E38*E32</f>
        <v>439570.29310915957</v>
      </c>
      <c r="F40" s="1009">
        <f>F38*F32</f>
        <v>245180.27699042505</v>
      </c>
      <c r="I40" s="1009"/>
      <c r="J40" s="1009"/>
      <c r="K40" s="1009"/>
    </row>
    <row r="41" spans="4:11" x14ac:dyDescent="0.2">
      <c r="E41" s="1009"/>
      <c r="F41" s="1009"/>
      <c r="I41" s="1009"/>
      <c r="J41" s="1009"/>
      <c r="K41" s="1009"/>
    </row>
    <row r="42" spans="4:11" x14ac:dyDescent="0.2">
      <c r="D42">
        <f>D40-D36</f>
        <v>410261.47200000013</v>
      </c>
      <c r="E42" s="1009">
        <f>E40-E36</f>
        <v>221721.41310915956</v>
      </c>
      <c r="F42" s="1009">
        <f>F40-F36</f>
        <v>123804.08499042504</v>
      </c>
      <c r="I42" s="1009"/>
      <c r="J42" s="1009"/>
      <c r="K42" s="1009"/>
    </row>
    <row r="43" spans="4:11" x14ac:dyDescent="0.2">
      <c r="E43" s="1009"/>
      <c r="F43" s="1009"/>
      <c r="I43" s="1009"/>
      <c r="J43" s="1009"/>
      <c r="K43" s="1009"/>
    </row>
    <row r="44" spans="4:11" x14ac:dyDescent="0.2">
      <c r="E44" s="1009"/>
      <c r="F44" s="1009"/>
      <c r="I44" s="1009"/>
      <c r="J44" s="1009"/>
      <c r="K44" s="1009"/>
    </row>
    <row r="45" spans="4:11" x14ac:dyDescent="0.2">
      <c r="E45" s="1009"/>
      <c r="F45" s="1009"/>
      <c r="I45" s="1009"/>
      <c r="J45" s="1009"/>
      <c r="K45" s="1009"/>
    </row>
    <row r="46" spans="4:11" x14ac:dyDescent="0.2">
      <c r="E46" s="1009"/>
      <c r="F46" s="1009"/>
      <c r="I46" s="1009"/>
      <c r="J46" s="1009"/>
      <c r="K46" s="1009"/>
    </row>
    <row r="47" spans="4:11" x14ac:dyDescent="0.2">
      <c r="E47" s="1009"/>
      <c r="F47" s="1009"/>
      <c r="I47" s="1009"/>
      <c r="J47" s="1009"/>
      <c r="K47" s="1009"/>
    </row>
    <row r="48" spans="4:11" x14ac:dyDescent="0.2">
      <c r="E48" s="1009"/>
      <c r="F48" s="1009"/>
      <c r="I48" s="1009"/>
      <c r="J48" s="1009"/>
      <c r="K48" s="1009"/>
    </row>
    <row r="49" spans="5:11" x14ac:dyDescent="0.2">
      <c r="E49" s="1009"/>
      <c r="F49" s="1009"/>
      <c r="I49" s="1009"/>
      <c r="J49" s="1009"/>
      <c r="K49" s="1009"/>
    </row>
    <row r="50" spans="5:11" x14ac:dyDescent="0.2">
      <c r="E50" s="1009"/>
      <c r="F50" s="1009"/>
      <c r="I50" s="1009"/>
      <c r="J50" s="1009"/>
      <c r="K50" s="1009"/>
    </row>
    <row r="51" spans="5:11" x14ac:dyDescent="0.2">
      <c r="E51" s="1009"/>
      <c r="F51" s="1009"/>
      <c r="I51" s="1009"/>
      <c r="J51" s="1009"/>
      <c r="K51" s="1009"/>
    </row>
    <row r="52" spans="5:11" x14ac:dyDescent="0.2">
      <c r="E52" s="1009"/>
      <c r="F52" s="1009"/>
      <c r="I52" s="1009"/>
      <c r="J52" s="1009"/>
      <c r="K52" s="1009"/>
    </row>
    <row r="53" spans="5:11" x14ac:dyDescent="0.2">
      <c r="E53" s="1009"/>
      <c r="F53" s="1009"/>
      <c r="I53" s="1009"/>
      <c r="J53" s="1009"/>
      <c r="K53" s="1009"/>
    </row>
    <row r="54" spans="5:11" x14ac:dyDescent="0.2">
      <c r="E54" s="1009"/>
      <c r="F54" s="1009"/>
      <c r="I54" s="1009"/>
      <c r="J54" s="1009"/>
      <c r="K54" s="1009"/>
    </row>
    <row r="55" spans="5:11" x14ac:dyDescent="0.2">
      <c r="E55" s="1009"/>
      <c r="F55" s="1009"/>
      <c r="I55" s="1009"/>
      <c r="J55" s="1009"/>
      <c r="K55" s="1009"/>
    </row>
    <row r="56" spans="5:11" x14ac:dyDescent="0.2">
      <c r="E56" s="1009"/>
      <c r="F56" s="1009"/>
      <c r="I56" s="1009"/>
      <c r="J56" s="1009"/>
      <c r="K56" s="1009"/>
    </row>
    <row r="57" spans="5:11" x14ac:dyDescent="0.2">
      <c r="E57" s="1009"/>
      <c r="F57" s="1009"/>
      <c r="I57" s="1009"/>
      <c r="J57" s="1009"/>
      <c r="K57" s="1009"/>
    </row>
    <row r="58" spans="5:11" x14ac:dyDescent="0.2">
      <c r="E58" s="1009"/>
      <c r="F58" s="1009"/>
      <c r="I58" s="1009"/>
      <c r="J58" s="1009"/>
      <c r="K58" s="1009"/>
    </row>
    <row r="59" spans="5:11" x14ac:dyDescent="0.2">
      <c r="E59" s="1009"/>
      <c r="F59" s="1009"/>
      <c r="I59" s="1009"/>
      <c r="J59" s="1009"/>
      <c r="K59" s="1009"/>
    </row>
    <row r="60" spans="5:11" x14ac:dyDescent="0.2">
      <c r="E60" s="1009"/>
      <c r="F60" s="1009"/>
      <c r="I60" s="1009"/>
      <c r="J60" s="1009"/>
      <c r="K60" s="1009"/>
    </row>
    <row r="61" spans="5:11" x14ac:dyDescent="0.2">
      <c r="E61" s="1009"/>
      <c r="F61" s="1009"/>
      <c r="I61" s="1009"/>
      <c r="J61" s="1009"/>
      <c r="K61" s="1009"/>
    </row>
    <row r="62" spans="5:11" x14ac:dyDescent="0.2">
      <c r="E62" s="1009"/>
      <c r="F62" s="1009"/>
      <c r="I62" s="1009"/>
      <c r="J62" s="1009"/>
      <c r="K62" s="1009"/>
    </row>
    <row r="63" spans="5:11" x14ac:dyDescent="0.2">
      <c r="E63" s="1009"/>
      <c r="F63" s="1009"/>
      <c r="I63" s="1009"/>
      <c r="J63" s="1009"/>
      <c r="K63" s="1009"/>
    </row>
    <row r="64" spans="5:11" x14ac:dyDescent="0.2">
      <c r="E64" s="1009"/>
      <c r="F64" s="1009"/>
      <c r="I64" s="1009"/>
      <c r="J64" s="1009"/>
      <c r="K64" s="1009"/>
    </row>
    <row r="65" spans="1:12" x14ac:dyDescent="0.2">
      <c r="E65" s="1009"/>
      <c r="F65" s="1009"/>
      <c r="I65" s="1009"/>
      <c r="J65" s="1009"/>
      <c r="K65" s="1009"/>
    </row>
    <row r="66" spans="1:12" x14ac:dyDescent="0.2">
      <c r="E66" s="1009"/>
      <c r="F66" s="1009"/>
      <c r="I66" s="1009"/>
      <c r="J66" s="1009"/>
      <c r="K66" s="1009"/>
    </row>
    <row r="67" spans="1:12" x14ac:dyDescent="0.2">
      <c r="E67" s="1009"/>
      <c r="F67" s="1009"/>
      <c r="I67" s="1009"/>
      <c r="J67" s="1009"/>
      <c r="K67" s="1009"/>
    </row>
    <row r="73" spans="1:12" ht="13.5" thickBot="1" x14ac:dyDescent="0.25"/>
    <row r="74" spans="1:12" x14ac:dyDescent="0.2">
      <c r="A74" s="1161"/>
      <c r="B74" s="321"/>
      <c r="C74" s="321"/>
      <c r="D74" s="321"/>
      <c r="E74" s="1162"/>
      <c r="F74" s="1162"/>
      <c r="G74" s="321"/>
      <c r="H74" s="321"/>
      <c r="I74" s="1162"/>
      <c r="J74" s="1162"/>
      <c r="K74" s="1162"/>
      <c r="L74" s="1163"/>
    </row>
    <row r="75" spans="1:12" x14ac:dyDescent="0.2">
      <c r="A75" s="522"/>
      <c r="E75" s="1009"/>
      <c r="F75" s="1009"/>
      <c r="I75" s="1009"/>
      <c r="J75" s="1009"/>
      <c r="K75" s="1009"/>
      <c r="L75" s="1164"/>
    </row>
    <row r="76" spans="1:12" x14ac:dyDescent="0.2">
      <c r="A76" s="522"/>
      <c r="E76" s="1009"/>
      <c r="F76" s="1009"/>
      <c r="I76" s="1009"/>
      <c r="J76" s="1009"/>
      <c r="K76" s="1009"/>
      <c r="L76" s="1164"/>
    </row>
    <row r="77" spans="1:12" x14ac:dyDescent="0.2">
      <c r="A77" s="522"/>
      <c r="E77" s="1009"/>
      <c r="F77" s="1009"/>
      <c r="I77" s="1009"/>
      <c r="J77" s="1009"/>
      <c r="K77" s="1009"/>
      <c r="L77" s="1164"/>
    </row>
    <row r="78" spans="1:12" x14ac:dyDescent="0.2">
      <c r="A78" s="522"/>
      <c r="E78" s="1009"/>
      <c r="F78" s="1009"/>
      <c r="I78" s="1009"/>
      <c r="J78" s="1009"/>
      <c r="K78" s="1009"/>
      <c r="L78" s="1164"/>
    </row>
    <row r="79" spans="1:12" x14ac:dyDescent="0.2">
      <c r="A79" s="522"/>
      <c r="E79" s="1009"/>
      <c r="F79" s="1009"/>
      <c r="I79" s="1009"/>
      <c r="J79" s="1009"/>
      <c r="K79" s="1009"/>
      <c r="L79" s="1164"/>
    </row>
    <row r="80" spans="1:12" x14ac:dyDescent="0.2">
      <c r="A80" s="522"/>
      <c r="E80" s="1009"/>
      <c r="F80" s="1009"/>
      <c r="I80" s="1151"/>
      <c r="J80" s="1009"/>
      <c r="K80" s="1009"/>
      <c r="L80" s="1164"/>
    </row>
    <row r="81" spans="1:12" x14ac:dyDescent="0.2">
      <c r="A81" s="522"/>
      <c r="E81" s="1009"/>
      <c r="F81" s="1009"/>
      <c r="I81" s="1151"/>
      <c r="J81" s="1009"/>
      <c r="K81" s="1009"/>
      <c r="L81" s="1164"/>
    </row>
    <row r="82" spans="1:12" x14ac:dyDescent="0.2">
      <c r="A82" s="522"/>
      <c r="E82" s="1009"/>
      <c r="F82" s="1009"/>
      <c r="I82" s="1151"/>
      <c r="J82" s="1009"/>
      <c r="K82" s="1009"/>
      <c r="L82" s="1164"/>
    </row>
    <row r="83" spans="1:12" x14ac:dyDescent="0.2">
      <c r="A83" s="522"/>
      <c r="E83" s="1009"/>
      <c r="F83" s="1009"/>
      <c r="I83" s="1151"/>
      <c r="J83" s="1009"/>
      <c r="K83" s="1009"/>
      <c r="L83" s="1164"/>
    </row>
    <row r="84" spans="1:12" x14ac:dyDescent="0.2">
      <c r="A84" s="522"/>
      <c r="E84" s="1009"/>
      <c r="F84" s="1009"/>
      <c r="I84" s="1151"/>
      <c r="J84" s="1009"/>
      <c r="K84" s="1009"/>
      <c r="L84" s="1164"/>
    </row>
    <row r="85" spans="1:12" x14ac:dyDescent="0.2">
      <c r="A85" s="522"/>
      <c r="E85" s="1009"/>
      <c r="F85" s="1009"/>
      <c r="I85" s="1151"/>
      <c r="J85" s="1009"/>
      <c r="K85" s="1009"/>
      <c r="L85" s="1164"/>
    </row>
    <row r="86" spans="1:12" x14ac:dyDescent="0.2">
      <c r="A86" s="522"/>
      <c r="E86" s="1009"/>
      <c r="F86" s="1009"/>
      <c r="I86" s="1151"/>
      <c r="J86" s="1009"/>
      <c r="K86" s="1009"/>
      <c r="L86" s="1164"/>
    </row>
    <row r="87" spans="1:12" x14ac:dyDescent="0.2">
      <c r="A87" s="522"/>
      <c r="E87" s="1009"/>
      <c r="F87" s="1009"/>
      <c r="I87" s="1151"/>
      <c r="J87" s="1009"/>
      <c r="K87" s="1009"/>
      <c r="L87" s="1164"/>
    </row>
    <row r="88" spans="1:12" x14ac:dyDescent="0.2">
      <c r="A88" s="1165"/>
      <c r="B88" s="1157"/>
      <c r="C88" s="1157"/>
      <c r="D88" s="1157"/>
      <c r="E88" s="1156"/>
      <c r="F88" s="1156"/>
      <c r="G88" s="1157"/>
      <c r="H88" s="1157"/>
      <c r="I88" s="1158"/>
      <c r="J88" s="1156"/>
      <c r="K88" s="1156"/>
      <c r="L88" s="1166"/>
    </row>
    <row r="89" spans="1:12" x14ac:dyDescent="0.2">
      <c r="A89" s="522"/>
      <c r="E89" s="1009"/>
      <c r="F89" s="1009"/>
      <c r="I89" s="1151"/>
      <c r="J89" s="1009"/>
      <c r="K89" s="1009"/>
      <c r="L89" s="1164"/>
    </row>
    <row r="90" spans="1:12" x14ac:dyDescent="0.2">
      <c r="A90" s="522"/>
      <c r="E90" s="1009"/>
      <c r="F90" s="1009"/>
      <c r="I90" s="1151"/>
      <c r="J90" s="1009"/>
      <c r="K90" s="1009"/>
      <c r="L90" s="1164"/>
    </row>
    <row r="91" spans="1:12" ht="13.5" thickBot="1" x14ac:dyDescent="0.25">
      <c r="A91" s="524"/>
      <c r="B91" s="213"/>
      <c r="C91" s="213"/>
      <c r="D91" s="213"/>
      <c r="E91" s="1167"/>
      <c r="F91" s="1167"/>
      <c r="G91" s="213"/>
      <c r="H91" s="213"/>
      <c r="I91" s="1168"/>
      <c r="J91" s="1167"/>
      <c r="K91" s="1167"/>
      <c r="L91" s="1169"/>
    </row>
  </sheetData>
  <mergeCells count="1">
    <mergeCell ref="A27:G27"/>
  </mergeCells>
  <printOptions horizontalCentered="1"/>
  <pageMargins left="0.7" right="0.7" top="1.25" bottom="0.75" header="0.82" footer="0.3"/>
  <pageSetup orientation="landscape" r:id="rId1"/>
  <headerFooter>
    <oddHeader>&amp;C&amp;"-,Bold"&amp;12CITY OF ALLEN
PROJECTED COST / SAVINGS RECONCILIATION</oddHead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91"/>
  <sheetViews>
    <sheetView zoomScaleNormal="100" workbookViewId="0">
      <selection activeCell="K3" sqref="K3:K13"/>
    </sheetView>
  </sheetViews>
  <sheetFormatPr defaultColWidth="8.85546875" defaultRowHeight="12.75" x14ac:dyDescent="0.2"/>
  <cols>
    <col min="1" max="1" width="48.85546875" style="1305" customWidth="1"/>
    <col min="2" max="5" width="12.42578125" style="1305" customWidth="1"/>
    <col min="6" max="7" width="13.140625" style="1305" hidden="1" customWidth="1"/>
    <col min="8" max="8" width="12.42578125" style="1305" hidden="1" customWidth="1"/>
    <col min="9" max="9" width="12.28515625" style="1305" hidden="1" customWidth="1"/>
    <col min="10" max="10" width="0" style="1305" hidden="1" customWidth="1"/>
    <col min="11" max="16384" width="8.85546875" style="1305"/>
  </cols>
  <sheetData>
    <row r="1" spans="1:11" x14ac:dyDescent="0.2">
      <c r="A1" s="1327"/>
      <c r="B1" s="1327"/>
      <c r="C1" s="1327"/>
      <c r="D1" s="1327"/>
      <c r="E1" s="1327"/>
      <c r="F1" s="1327"/>
      <c r="G1" s="1327"/>
      <c r="H1" s="1327"/>
      <c r="I1" s="1402" t="s">
        <v>373</v>
      </c>
    </row>
    <row r="2" spans="1:11" ht="13.5" thickBot="1" x14ac:dyDescent="0.25">
      <c r="A2" s="1407" t="s">
        <v>663</v>
      </c>
      <c r="B2" s="1402"/>
      <c r="C2" s="1402" t="s">
        <v>108</v>
      </c>
      <c r="D2" s="1402" t="s">
        <v>108</v>
      </c>
      <c r="E2" s="1402" t="s">
        <v>108</v>
      </c>
      <c r="F2" s="1402"/>
      <c r="G2" s="1402"/>
      <c r="H2" s="1402"/>
      <c r="I2" s="1402" t="s">
        <v>108</v>
      </c>
    </row>
    <row r="3" spans="1:11" x14ac:dyDescent="0.2">
      <c r="A3" s="1406"/>
      <c r="B3" s="1404" t="s">
        <v>690</v>
      </c>
      <c r="C3" s="1404" t="s">
        <v>691</v>
      </c>
      <c r="D3" s="1405" t="s">
        <v>703</v>
      </c>
      <c r="E3" s="1404" t="s">
        <v>692</v>
      </c>
      <c r="F3" s="1404" t="s">
        <v>693</v>
      </c>
      <c r="G3" s="1403" t="s">
        <v>694</v>
      </c>
      <c r="H3" s="1402"/>
      <c r="I3" s="1401"/>
      <c r="J3" s="1312"/>
      <c r="K3" s="1312"/>
    </row>
    <row r="4" spans="1:11" x14ac:dyDescent="0.2">
      <c r="A4" s="1400" t="s">
        <v>688</v>
      </c>
      <c r="B4" s="1399" t="s">
        <v>49</v>
      </c>
      <c r="C4" s="1399" t="s">
        <v>49</v>
      </c>
      <c r="D4" s="1396" t="s">
        <v>74</v>
      </c>
      <c r="E4" s="1399" t="s">
        <v>598</v>
      </c>
      <c r="F4" s="1399" t="s">
        <v>91</v>
      </c>
      <c r="G4" s="1398" t="s">
        <v>87</v>
      </c>
      <c r="H4" s="1397" t="s">
        <v>49</v>
      </c>
      <c r="I4" s="1396" t="s">
        <v>486</v>
      </c>
      <c r="J4" s="1312"/>
      <c r="K4" s="1312"/>
    </row>
    <row r="5" spans="1:11" x14ac:dyDescent="0.2">
      <c r="A5" s="1391" t="s">
        <v>666</v>
      </c>
      <c r="B5" s="1350">
        <f>'2018 Renewal - Fixed Fees'!B45</f>
        <v>245144.04000000004</v>
      </c>
      <c r="C5" s="1350">
        <f>'2018 Renewal - Fixed Fees'!C45</f>
        <v>176069.88</v>
      </c>
      <c r="D5" s="1350">
        <f>'2018 Renewal - Fixed Fees'!D45</f>
        <v>194915.28</v>
      </c>
      <c r="E5" s="1350">
        <f>'2018 Renewal - Fixed Fees'!E45</f>
        <v>191336.68</v>
      </c>
      <c r="F5" s="1350">
        <f>'2018 Renewal - Fixed Fees'!F45</f>
        <v>39999.000000000015</v>
      </c>
      <c r="G5" s="1350">
        <f>'2018 Renewal - Fixed Fees'!G45</f>
        <v>379292.51999999996</v>
      </c>
      <c r="H5" s="1350">
        <f>'2018 Renewal - Fixed Fees'!H45</f>
        <v>183761.88</v>
      </c>
      <c r="I5" s="1350">
        <f>'2018 Renewal - Fixed Fees'!I45</f>
        <v>183761.88</v>
      </c>
      <c r="J5" s="1350">
        <f>'2018 Renewal - Fixed Fees'!J45</f>
        <v>319525.68</v>
      </c>
      <c r="K5" s="1312"/>
    </row>
    <row r="6" spans="1:11" x14ac:dyDescent="0.2">
      <c r="A6" s="1391" t="s">
        <v>702</v>
      </c>
      <c r="B6" s="1394" t="s">
        <v>34</v>
      </c>
      <c r="C6" s="1394" t="s">
        <v>34</v>
      </c>
      <c r="D6" s="1336">
        <f>'2018 Renewal - Fixed Fees'!D46</f>
        <v>61286.010000000009</v>
      </c>
      <c r="E6" s="1350">
        <f>'2018 Renewal - Fixed Fees'!E46</f>
        <v>61286.010000000009</v>
      </c>
      <c r="F6" s="1350">
        <f>'[2]2018 Renewal - Fixed Fees'!F47</f>
        <v>61286.010000000009</v>
      </c>
      <c r="G6" s="1395">
        <f>'[2]2018 Renewal - Fixed Fees'!G47</f>
        <v>61286.010000000009</v>
      </c>
      <c r="H6" s="1368"/>
      <c r="I6" s="1335"/>
      <c r="J6" s="1367"/>
      <c r="K6" s="1312"/>
    </row>
    <row r="7" spans="1:11" x14ac:dyDescent="0.2">
      <c r="A7" s="1391" t="s">
        <v>667</v>
      </c>
      <c r="B7" s="1394" t="e">
        <f>'Stop Loss Analysis'!#REF!+'Stop Loss Analysis'!#REF!</f>
        <v>#REF!</v>
      </c>
      <c r="C7" s="1394" t="e">
        <f>'Stop Loss Analysis'!#REF!+'Stop Loss Analysis'!#REF!</f>
        <v>#REF!</v>
      </c>
      <c r="D7" s="1393" t="e">
        <f>'Stop Loss Analysis'!#REF!+'Stop Loss Analysis'!#REF!</f>
        <v>#REF!</v>
      </c>
      <c r="E7" s="1392" t="e">
        <f>'Stop Loss Analysis'!#REF!+'Stop Loss Analysis'!#REF!</f>
        <v>#REF!</v>
      </c>
      <c r="F7" s="1392">
        <f>'[2]2018 Renewal - Stop Loss'!K19+'[2]2018 Renewal - Stop Loss'!K22</f>
        <v>1158569.04</v>
      </c>
      <c r="G7" s="1388">
        <f>'[2]2018 Renewal - Stop Loss'!L19+'[2]2018 Renewal - Stop Loss'!L22</f>
        <v>1136569.92</v>
      </c>
      <c r="H7" s="1368"/>
      <c r="I7" s="1335"/>
      <c r="J7" s="1367"/>
      <c r="K7" s="1312"/>
    </row>
    <row r="8" spans="1:11" x14ac:dyDescent="0.2">
      <c r="A8" s="1391" t="s">
        <v>708</v>
      </c>
      <c r="B8" s="1350">
        <v>151803</v>
      </c>
      <c r="C8" s="1350">
        <f>B8-80695</f>
        <v>71108</v>
      </c>
      <c r="D8" s="1390">
        <v>20996</v>
      </c>
      <c r="E8" s="1389">
        <v>26922</v>
      </c>
      <c r="F8" s="1389">
        <f>B8*'Proposal Analysis - BAFO'!G33</f>
        <v>0</v>
      </c>
      <c r="G8" s="1388" t="s">
        <v>537</v>
      </c>
      <c r="H8" s="1368">
        <f>[2]Pharmacy!E42</f>
        <v>1739132</v>
      </c>
      <c r="I8" s="1335" t="e">
        <f>[2]Pharmacy!#REF!</f>
        <v>#REF!</v>
      </c>
      <c r="J8" s="1367"/>
      <c r="K8" s="1312"/>
    </row>
    <row r="9" spans="1:11" x14ac:dyDescent="0.2">
      <c r="A9" s="1387" t="s">
        <v>725</v>
      </c>
      <c r="B9" s="1386">
        <f>Pharmacy!B42</f>
        <v>1493422</v>
      </c>
      <c r="C9" s="1386">
        <f>Pharmacy!D42</f>
        <v>1392301</v>
      </c>
      <c r="D9" s="1386">
        <f>Pharmacy!C42</f>
        <v>1616791</v>
      </c>
      <c r="E9" s="1386">
        <f>Pharmacy!E42</f>
        <v>1739132</v>
      </c>
      <c r="F9" s="1385">
        <f>[2]Pharmacy!E44</f>
        <v>245710</v>
      </c>
      <c r="G9" s="1384" t="s">
        <v>537</v>
      </c>
      <c r="H9" s="1375"/>
      <c r="I9" s="1374"/>
      <c r="J9" s="1367"/>
      <c r="K9" s="1312"/>
    </row>
    <row r="10" spans="1:11" ht="13.5" thickBot="1" x14ac:dyDescent="0.25">
      <c r="A10" s="1383" t="s">
        <v>701</v>
      </c>
      <c r="B10" s="1382">
        <f>'Network Disruption'!B57</f>
        <v>7495588</v>
      </c>
      <c r="C10" s="1382">
        <f>B10</f>
        <v>7495588</v>
      </c>
      <c r="D10" s="1408">
        <f>'Network Disruption'!C57</f>
        <v>7190143</v>
      </c>
      <c r="E10" s="1416">
        <f>'Network Disruption'!D57</f>
        <v>7364312.8399999999</v>
      </c>
      <c r="F10" s="1381">
        <f>F42*-1</f>
        <v>0</v>
      </c>
      <c r="G10" s="1380" t="s">
        <v>537</v>
      </c>
      <c r="H10" s="1375"/>
      <c r="I10" s="1374"/>
      <c r="J10" s="1367"/>
      <c r="K10" s="1312"/>
    </row>
    <row r="11" spans="1:11" x14ac:dyDescent="0.2">
      <c r="A11" s="1379" t="s">
        <v>687</v>
      </c>
      <c r="B11" s="1377" t="e">
        <f t="shared" ref="B11:G11" si="0">SUM(B5:B10)</f>
        <v>#REF!</v>
      </c>
      <c r="C11" s="1377" t="e">
        <f t="shared" si="0"/>
        <v>#REF!</v>
      </c>
      <c r="D11" s="1378" t="e">
        <f t="shared" si="0"/>
        <v>#REF!</v>
      </c>
      <c r="E11" s="1377" t="e">
        <f t="shared" si="0"/>
        <v>#REF!</v>
      </c>
      <c r="F11" s="1377">
        <f t="shared" si="0"/>
        <v>1505564.05</v>
      </c>
      <c r="G11" s="1376">
        <f t="shared" si="0"/>
        <v>1577148.45</v>
      </c>
      <c r="H11" s="1375">
        <f>SUM(H5:H5)</f>
        <v>183761.88</v>
      </c>
      <c r="I11" s="1374" t="s">
        <v>373</v>
      </c>
      <c r="J11" s="1367"/>
      <c r="K11" s="1312"/>
    </row>
    <row r="12" spans="1:11" x14ac:dyDescent="0.2">
      <c r="A12" s="1373" t="s">
        <v>689</v>
      </c>
      <c r="B12" s="1372" t="s">
        <v>34</v>
      </c>
      <c r="C12" s="1371" t="e">
        <f>C11-B11</f>
        <v>#REF!</v>
      </c>
      <c r="D12" s="1409" t="e">
        <f>D11-B11</f>
        <v>#REF!</v>
      </c>
      <c r="E12" s="1417" t="e">
        <f>E11-B11</f>
        <v>#REF!</v>
      </c>
      <c r="F12" s="1370" t="e">
        <f>F11-B11</f>
        <v>#REF!</v>
      </c>
      <c r="G12" s="1369" t="e">
        <f>G11-B11</f>
        <v>#REF!</v>
      </c>
      <c r="H12" s="1368" t="e">
        <f>H11-C11</f>
        <v>#REF!</v>
      </c>
      <c r="I12" s="1335" t="s">
        <v>373</v>
      </c>
      <c r="J12" s="1367"/>
      <c r="K12" s="1312"/>
    </row>
    <row r="13" spans="1:11" ht="13.5" thickBot="1" x14ac:dyDescent="0.25">
      <c r="A13" s="1366" t="s">
        <v>700</v>
      </c>
      <c r="B13" s="1365" t="s">
        <v>34</v>
      </c>
      <c r="C13" s="1364" t="e">
        <f>C12/B11</f>
        <v>#REF!</v>
      </c>
      <c r="D13" s="1410" t="e">
        <f>D12/B11</f>
        <v>#REF!</v>
      </c>
      <c r="E13" s="1363" t="e">
        <f>E12/B11</f>
        <v>#REF!</v>
      </c>
      <c r="F13" s="1363" t="e">
        <f>F12/C11</f>
        <v>#REF!</v>
      </c>
      <c r="G13" s="1362" t="e">
        <f>G12/C11</f>
        <v>#REF!</v>
      </c>
      <c r="H13" s="1361" t="e">
        <f>H12/C11</f>
        <v>#REF!</v>
      </c>
      <c r="I13" s="1332" t="s">
        <v>373</v>
      </c>
      <c r="J13" s="1312"/>
      <c r="K13" s="1312"/>
    </row>
    <row r="14" spans="1:11" ht="5.25" hidden="1" customHeight="1" thickBot="1" x14ac:dyDescent="0.25">
      <c r="A14" s="1360"/>
      <c r="B14" s="1358"/>
      <c r="C14" s="1358"/>
      <c r="D14" s="1358"/>
      <c r="E14" s="1359"/>
      <c r="F14" s="1359"/>
      <c r="G14" s="1358"/>
      <c r="H14" s="1357"/>
      <c r="I14" s="1356"/>
      <c r="J14" s="1312"/>
      <c r="K14" s="1312"/>
    </row>
    <row r="15" spans="1:11" hidden="1" x14ac:dyDescent="0.2">
      <c r="A15" s="1355" t="s">
        <v>557</v>
      </c>
      <c r="B15" s="1354" t="s">
        <v>49</v>
      </c>
      <c r="C15" s="1354" t="s">
        <v>49</v>
      </c>
      <c r="D15" s="1353" t="s">
        <v>74</v>
      </c>
      <c r="E15" s="1353" t="s">
        <v>598</v>
      </c>
      <c r="F15" s="1354" t="s">
        <v>91</v>
      </c>
      <c r="G15" s="1354" t="s">
        <v>87</v>
      </c>
      <c r="H15" s="1353" t="s">
        <v>49</v>
      </c>
      <c r="I15" s="1353" t="s">
        <v>486</v>
      </c>
      <c r="J15" s="1312"/>
      <c r="K15" s="1312"/>
    </row>
    <row r="16" spans="1:11" hidden="1" x14ac:dyDescent="0.2">
      <c r="A16" s="1334" t="s">
        <v>558</v>
      </c>
      <c r="B16" s="1350" t="e">
        <f>#REF!</f>
        <v>#REF!</v>
      </c>
      <c r="C16" s="1350" t="e">
        <f>#REF!</f>
        <v>#REF!</v>
      </c>
      <c r="D16" s="1336" t="e">
        <f>#REF!</f>
        <v>#REF!</v>
      </c>
      <c r="E16" s="1336" t="e">
        <f>#REF!</f>
        <v>#REF!</v>
      </c>
      <c r="F16" s="1352" t="e">
        <f>#REF!</f>
        <v>#REF!</v>
      </c>
      <c r="G16" s="1350" t="e">
        <f>#REF!</f>
        <v>#REF!</v>
      </c>
      <c r="H16" s="1336" t="e">
        <f>#REF!</f>
        <v>#REF!</v>
      </c>
      <c r="I16" s="1335" t="e">
        <f>#REF!</f>
        <v>#REF!</v>
      </c>
      <c r="J16" s="1312"/>
      <c r="K16" s="1312"/>
    </row>
    <row r="17" spans="1:11" hidden="1" x14ac:dyDescent="0.2">
      <c r="A17" s="1334" t="s">
        <v>559</v>
      </c>
      <c r="B17" s="1350">
        <f t="shared" ref="B17:I17" si="1">B8</f>
        <v>151803</v>
      </c>
      <c r="C17" s="1350">
        <f t="shared" si="1"/>
        <v>71108</v>
      </c>
      <c r="D17" s="1336">
        <f t="shared" si="1"/>
        <v>20996</v>
      </c>
      <c r="E17" s="1336">
        <f t="shared" si="1"/>
        <v>26922</v>
      </c>
      <c r="F17" s="1352">
        <f t="shared" si="1"/>
        <v>0</v>
      </c>
      <c r="G17" s="1350" t="str">
        <f t="shared" si="1"/>
        <v>Not Provided</v>
      </c>
      <c r="H17" s="1336">
        <f t="shared" si="1"/>
        <v>1739132</v>
      </c>
      <c r="I17" s="1335" t="e">
        <f t="shared" si="1"/>
        <v>#REF!</v>
      </c>
      <c r="J17" s="1312"/>
      <c r="K17" s="1312"/>
    </row>
    <row r="18" spans="1:11" hidden="1" x14ac:dyDescent="0.2">
      <c r="A18" s="1334" t="s">
        <v>551</v>
      </c>
      <c r="B18" s="1337" t="e">
        <f>#REF!</f>
        <v>#REF!</v>
      </c>
      <c r="C18" s="1337" t="e">
        <f>#REF!</f>
        <v>#REF!</v>
      </c>
      <c r="D18" s="1349" t="e">
        <f>#REF!</f>
        <v>#REF!</v>
      </c>
      <c r="E18" s="1349" t="e">
        <f>#REF!</f>
        <v>#REF!</v>
      </c>
      <c r="F18" s="1338" t="e">
        <f>#REF!</f>
        <v>#REF!</v>
      </c>
      <c r="G18" s="1337" t="e">
        <f>#REF!</f>
        <v>#REF!</v>
      </c>
      <c r="H18" s="1349" t="e">
        <f>#REF!</f>
        <v>#REF!</v>
      </c>
      <c r="I18" s="1348" t="e">
        <f>#REF!</f>
        <v>#REF!</v>
      </c>
      <c r="J18" s="1312"/>
      <c r="K18" s="1312"/>
    </row>
    <row r="19" spans="1:11" hidden="1" x14ac:dyDescent="0.2">
      <c r="A19" s="1334" t="s">
        <v>550</v>
      </c>
      <c r="B19" s="1350">
        <f t="shared" ref="B19:I19" si="2">B5</f>
        <v>245144.04000000004</v>
      </c>
      <c r="C19" s="1350">
        <f t="shared" si="2"/>
        <v>176069.88</v>
      </c>
      <c r="D19" s="1336">
        <f t="shared" si="2"/>
        <v>194915.28</v>
      </c>
      <c r="E19" s="1336">
        <f t="shared" si="2"/>
        <v>191336.68</v>
      </c>
      <c r="F19" s="1352">
        <f t="shared" si="2"/>
        <v>39999.000000000015</v>
      </c>
      <c r="G19" s="1350">
        <f t="shared" si="2"/>
        <v>379292.51999999996</v>
      </c>
      <c r="H19" s="1336">
        <f t="shared" si="2"/>
        <v>183761.88</v>
      </c>
      <c r="I19" s="1335">
        <f t="shared" si="2"/>
        <v>183761.88</v>
      </c>
      <c r="J19" s="1312"/>
      <c r="K19" s="1312"/>
    </row>
    <row r="20" spans="1:11" ht="14.25" hidden="1" customHeight="1" x14ac:dyDescent="0.2">
      <c r="A20" s="1351" t="s">
        <v>556</v>
      </c>
      <c r="B20" s="1350">
        <v>0</v>
      </c>
      <c r="C20" s="1350">
        <v>0</v>
      </c>
      <c r="D20" s="1336">
        <v>0</v>
      </c>
      <c r="E20" s="1336">
        <v>0</v>
      </c>
      <c r="F20" s="1338">
        <f>'[2]2018 Renewal - Fixed Fees'!I55</f>
        <v>-110000</v>
      </c>
      <c r="G20" s="1337">
        <f>'[2]2018 Renewal - Fixed Fees'!E55</f>
        <v>-20000</v>
      </c>
      <c r="H20" s="1349">
        <f>'[2]2018 Renewal - Fixed Fees'!D55</f>
        <v>-25000</v>
      </c>
      <c r="I20" s="1348">
        <f>'[2]2018 Renewal - Fixed Fees'!F55</f>
        <v>-93244</v>
      </c>
      <c r="J20" s="1312"/>
      <c r="K20" s="1312"/>
    </row>
    <row r="21" spans="1:11" ht="12.75" hidden="1" customHeight="1" thickBot="1" x14ac:dyDescent="0.25">
      <c r="A21" s="1347" t="s">
        <v>555</v>
      </c>
      <c r="B21" s="1345">
        <v>0</v>
      </c>
      <c r="C21" s="1345">
        <v>0</v>
      </c>
      <c r="D21" s="1344">
        <v>0</v>
      </c>
      <c r="E21" s="1344">
        <v>0</v>
      </c>
      <c r="F21" s="1346">
        <f>G21</f>
        <v>37061</v>
      </c>
      <c r="G21" s="1345">
        <f>'[2]2018 Renewal - Fixed Fees'!I53</f>
        <v>37061</v>
      </c>
      <c r="H21" s="1344">
        <f>F21</f>
        <v>37061</v>
      </c>
      <c r="I21" s="1343">
        <f>H21</f>
        <v>37061</v>
      </c>
      <c r="J21" s="1312"/>
      <c r="K21" s="1312"/>
    </row>
    <row r="22" spans="1:11" hidden="1" x14ac:dyDescent="0.2">
      <c r="A22" s="1342" t="s">
        <v>552</v>
      </c>
      <c r="B22" s="1340" t="e">
        <f t="shared" ref="B22:H22" si="3">SUM(B16:B21)</f>
        <v>#REF!</v>
      </c>
      <c r="C22" s="1340" t="e">
        <f t="shared" si="3"/>
        <v>#REF!</v>
      </c>
      <c r="D22" s="1339" t="e">
        <f t="shared" si="3"/>
        <v>#REF!</v>
      </c>
      <c r="E22" s="1339" t="e">
        <f t="shared" si="3"/>
        <v>#REF!</v>
      </c>
      <c r="F22" s="1341" t="e">
        <f t="shared" si="3"/>
        <v>#REF!</v>
      </c>
      <c r="G22" s="1340" t="e">
        <f t="shared" si="3"/>
        <v>#REF!</v>
      </c>
      <c r="H22" s="1339" t="e">
        <f t="shared" si="3"/>
        <v>#REF!</v>
      </c>
      <c r="I22" s="1335" t="s">
        <v>373</v>
      </c>
      <c r="J22" s="1312"/>
      <c r="K22" s="1312"/>
    </row>
    <row r="23" spans="1:11" hidden="1" x14ac:dyDescent="0.2">
      <c r="A23" s="1334" t="s">
        <v>553</v>
      </c>
      <c r="B23" s="1333" t="s">
        <v>34</v>
      </c>
      <c r="C23" s="1333" t="s">
        <v>34</v>
      </c>
      <c r="D23" s="1328" t="s">
        <v>34</v>
      </c>
      <c r="E23" s="1328" t="s">
        <v>34</v>
      </c>
      <c r="F23" s="1338" t="e">
        <f>F22-C22</f>
        <v>#REF!</v>
      </c>
      <c r="G23" s="1337" t="e">
        <f>G22-C22</f>
        <v>#REF!</v>
      </c>
      <c r="H23" s="1336" t="e">
        <f>H22-C22</f>
        <v>#REF!</v>
      </c>
      <c r="I23" s="1335" t="s">
        <v>373</v>
      </c>
      <c r="J23" s="1312"/>
      <c r="K23" s="1312"/>
    </row>
    <row r="24" spans="1:11" hidden="1" x14ac:dyDescent="0.2">
      <c r="A24" s="1334" t="s">
        <v>554</v>
      </c>
      <c r="B24" s="1333" t="s">
        <v>34</v>
      </c>
      <c r="C24" s="1333" t="s">
        <v>34</v>
      </c>
      <c r="D24" s="1328" t="s">
        <v>34</v>
      </c>
      <c r="E24" s="1332" t="s">
        <v>34</v>
      </c>
      <c r="F24" s="1331" t="e">
        <f>F23/C22</f>
        <v>#REF!</v>
      </c>
      <c r="G24" s="1330" t="e">
        <f>G23/C22</f>
        <v>#REF!</v>
      </c>
      <c r="H24" s="1329" t="e">
        <f>H23/C22</f>
        <v>#REF!</v>
      </c>
      <c r="I24" s="1328" t="s">
        <v>373</v>
      </c>
      <c r="J24" s="1312"/>
      <c r="K24" s="1312"/>
    </row>
    <row r="25" spans="1:11" x14ac:dyDescent="0.2">
      <c r="A25" s="1327"/>
      <c r="B25" s="1327"/>
      <c r="C25" s="1327"/>
      <c r="D25" s="1327"/>
      <c r="E25" s="1327"/>
      <c r="F25" s="1327"/>
      <c r="G25" s="1327"/>
      <c r="H25" s="1327"/>
      <c r="I25" s="1326"/>
      <c r="J25" s="1312"/>
    </row>
    <row r="26" spans="1:11" hidden="1" x14ac:dyDescent="0.2">
      <c r="A26" s="1327"/>
      <c r="B26" s="1327"/>
      <c r="C26" s="1327"/>
      <c r="D26" s="1327"/>
      <c r="E26" s="1327"/>
      <c r="F26" s="1327"/>
      <c r="G26" s="1327"/>
      <c r="H26" s="1327"/>
      <c r="I26" s="1326"/>
      <c r="J26" s="1312"/>
    </row>
    <row r="27" spans="1:11" ht="40.5" customHeight="1" x14ac:dyDescent="0.2">
      <c r="A27" s="1496" t="s">
        <v>704</v>
      </c>
      <c r="B27" s="1496"/>
      <c r="C27" s="1496"/>
      <c r="D27" s="1496"/>
      <c r="E27" s="1496"/>
      <c r="F27" s="1496"/>
      <c r="G27" s="1496"/>
      <c r="H27" s="1325"/>
      <c r="I27" s="1324"/>
      <c r="J27" s="1312"/>
    </row>
    <row r="28" spans="1:11" x14ac:dyDescent="0.2">
      <c r="E28" s="1312"/>
      <c r="F28" s="1312"/>
      <c r="I28" s="1312"/>
      <c r="J28" s="1312"/>
    </row>
    <row r="29" spans="1:11" x14ac:dyDescent="0.2">
      <c r="E29" s="1312"/>
      <c r="F29" s="1312"/>
      <c r="I29" s="1312"/>
      <c r="J29" s="1312"/>
      <c r="K29" s="1312"/>
    </row>
    <row r="30" spans="1:11" x14ac:dyDescent="0.2">
      <c r="E30" s="1312"/>
      <c r="F30" s="1312"/>
      <c r="I30" s="1312"/>
      <c r="J30" s="1312"/>
      <c r="K30" s="1312"/>
    </row>
    <row r="31" spans="1:11" x14ac:dyDescent="0.2">
      <c r="E31" s="1312"/>
      <c r="F31" s="1312"/>
      <c r="I31" s="1312"/>
      <c r="J31" s="1312"/>
      <c r="K31" s="1312"/>
    </row>
    <row r="32" spans="1:11" x14ac:dyDescent="0.2">
      <c r="E32" s="1312"/>
      <c r="F32" s="1312"/>
      <c r="I32" s="1312"/>
      <c r="J32" s="1312"/>
      <c r="K32" s="1312"/>
    </row>
    <row r="33" spans="5:11" x14ac:dyDescent="0.2">
      <c r="E33" s="1312"/>
      <c r="F33" s="1312"/>
      <c r="I33" s="1312"/>
      <c r="J33" s="1312"/>
      <c r="K33" s="1312"/>
    </row>
    <row r="34" spans="5:11" x14ac:dyDescent="0.2">
      <c r="E34" s="1312"/>
      <c r="F34" s="1312"/>
      <c r="I34" s="1312"/>
      <c r="J34" s="1312"/>
      <c r="K34" s="1312"/>
    </row>
    <row r="35" spans="5:11" x14ac:dyDescent="0.2">
      <c r="E35" s="1312"/>
      <c r="F35" s="1312"/>
      <c r="I35" s="1312"/>
      <c r="J35" s="1312"/>
      <c r="K35" s="1312"/>
    </row>
    <row r="36" spans="5:11" x14ac:dyDescent="0.2">
      <c r="E36" s="1312"/>
      <c r="F36" s="1312"/>
      <c r="I36" s="1312"/>
      <c r="J36" s="1312"/>
      <c r="K36" s="1312"/>
    </row>
    <row r="37" spans="5:11" x14ac:dyDescent="0.2">
      <c r="E37" s="1312"/>
      <c r="F37" s="1312"/>
      <c r="I37" s="1312"/>
      <c r="J37" s="1312"/>
      <c r="K37" s="1312"/>
    </row>
    <row r="38" spans="5:11" x14ac:dyDescent="0.2">
      <c r="E38" s="1312"/>
      <c r="F38" s="1312"/>
      <c r="I38" s="1312"/>
      <c r="J38" s="1312"/>
      <c r="K38" s="1312"/>
    </row>
    <row r="39" spans="5:11" x14ac:dyDescent="0.2">
      <c r="E39" s="1312"/>
      <c r="F39" s="1312"/>
      <c r="I39" s="1312"/>
      <c r="J39" s="1312"/>
      <c r="K39" s="1312"/>
    </row>
    <row r="40" spans="5:11" x14ac:dyDescent="0.2">
      <c r="E40" s="1312"/>
      <c r="F40" s="1312"/>
      <c r="I40" s="1312"/>
      <c r="J40" s="1312"/>
      <c r="K40" s="1312"/>
    </row>
    <row r="41" spans="5:11" x14ac:dyDescent="0.2">
      <c r="E41" s="1312"/>
      <c r="F41" s="1312"/>
      <c r="I41" s="1312"/>
      <c r="J41" s="1312"/>
      <c r="K41" s="1312"/>
    </row>
    <row r="42" spans="5:11" x14ac:dyDescent="0.2">
      <c r="E42" s="1312"/>
      <c r="F42" s="1312"/>
      <c r="I42" s="1312"/>
      <c r="J42" s="1312"/>
      <c r="K42" s="1312"/>
    </row>
    <row r="43" spans="5:11" x14ac:dyDescent="0.2">
      <c r="E43" s="1312"/>
      <c r="F43" s="1312"/>
      <c r="I43" s="1312"/>
      <c r="J43" s="1312"/>
      <c r="K43" s="1312"/>
    </row>
    <row r="44" spans="5:11" x14ac:dyDescent="0.2">
      <c r="E44" s="1312"/>
      <c r="F44" s="1312"/>
      <c r="I44" s="1312"/>
      <c r="J44" s="1312"/>
      <c r="K44" s="1312"/>
    </row>
    <row r="45" spans="5:11" x14ac:dyDescent="0.2">
      <c r="E45" s="1312"/>
      <c r="F45" s="1312"/>
      <c r="I45" s="1312"/>
      <c r="J45" s="1312"/>
      <c r="K45" s="1312"/>
    </row>
    <row r="46" spans="5:11" x14ac:dyDescent="0.2">
      <c r="E46" s="1312"/>
      <c r="F46" s="1312"/>
      <c r="I46" s="1312"/>
      <c r="J46" s="1312"/>
      <c r="K46" s="1312"/>
    </row>
    <row r="47" spans="5:11" x14ac:dyDescent="0.2">
      <c r="E47" s="1312"/>
      <c r="F47" s="1312"/>
      <c r="I47" s="1312"/>
      <c r="J47" s="1312"/>
      <c r="K47" s="1312"/>
    </row>
    <row r="48" spans="5:11" x14ac:dyDescent="0.2">
      <c r="E48" s="1312"/>
      <c r="F48" s="1312"/>
      <c r="I48" s="1312"/>
      <c r="J48" s="1312"/>
      <c r="K48" s="1312"/>
    </row>
    <row r="49" spans="5:11" x14ac:dyDescent="0.2">
      <c r="E49" s="1312"/>
      <c r="F49" s="1312"/>
      <c r="I49" s="1312"/>
      <c r="J49" s="1312"/>
      <c r="K49" s="1312"/>
    </row>
    <row r="50" spans="5:11" x14ac:dyDescent="0.2">
      <c r="E50" s="1312"/>
      <c r="F50" s="1312"/>
      <c r="I50" s="1312"/>
      <c r="J50" s="1312"/>
      <c r="K50" s="1312"/>
    </row>
    <row r="51" spans="5:11" x14ac:dyDescent="0.2">
      <c r="E51" s="1312"/>
      <c r="F51" s="1312"/>
      <c r="I51" s="1312"/>
      <c r="J51" s="1312"/>
      <c r="K51" s="1312"/>
    </row>
    <row r="52" spans="5:11" x14ac:dyDescent="0.2">
      <c r="E52" s="1312"/>
      <c r="F52" s="1312"/>
      <c r="I52" s="1312"/>
      <c r="J52" s="1312"/>
      <c r="K52" s="1312"/>
    </row>
    <row r="53" spans="5:11" x14ac:dyDescent="0.2">
      <c r="E53" s="1312"/>
      <c r="F53" s="1312"/>
      <c r="I53" s="1312"/>
      <c r="J53" s="1312"/>
      <c r="K53" s="1312"/>
    </row>
    <row r="54" spans="5:11" x14ac:dyDescent="0.2">
      <c r="E54" s="1312"/>
      <c r="F54" s="1312"/>
      <c r="I54" s="1312"/>
      <c r="J54" s="1312"/>
      <c r="K54" s="1312"/>
    </row>
    <row r="55" spans="5:11" x14ac:dyDescent="0.2">
      <c r="E55" s="1312"/>
      <c r="F55" s="1312"/>
      <c r="I55" s="1312"/>
      <c r="J55" s="1312"/>
      <c r="K55" s="1312"/>
    </row>
    <row r="56" spans="5:11" x14ac:dyDescent="0.2">
      <c r="E56" s="1312"/>
      <c r="F56" s="1312"/>
      <c r="I56" s="1312"/>
      <c r="J56" s="1312"/>
      <c r="K56" s="1312"/>
    </row>
    <row r="57" spans="5:11" x14ac:dyDescent="0.2">
      <c r="E57" s="1312"/>
      <c r="F57" s="1312"/>
      <c r="I57" s="1312"/>
      <c r="J57" s="1312"/>
      <c r="K57" s="1312"/>
    </row>
    <row r="58" spans="5:11" x14ac:dyDescent="0.2">
      <c r="E58" s="1312"/>
      <c r="F58" s="1312"/>
      <c r="I58" s="1312"/>
      <c r="J58" s="1312"/>
      <c r="K58" s="1312"/>
    </row>
    <row r="59" spans="5:11" x14ac:dyDescent="0.2">
      <c r="E59" s="1312"/>
      <c r="F59" s="1312"/>
      <c r="I59" s="1312"/>
      <c r="J59" s="1312"/>
      <c r="K59" s="1312"/>
    </row>
    <row r="60" spans="5:11" x14ac:dyDescent="0.2">
      <c r="E60" s="1312"/>
      <c r="F60" s="1312"/>
      <c r="I60" s="1312"/>
      <c r="J60" s="1312"/>
      <c r="K60" s="1312"/>
    </row>
    <row r="61" spans="5:11" x14ac:dyDescent="0.2">
      <c r="E61" s="1312"/>
      <c r="F61" s="1312"/>
      <c r="I61" s="1312"/>
      <c r="J61" s="1312"/>
      <c r="K61" s="1312"/>
    </row>
    <row r="62" spans="5:11" x14ac:dyDescent="0.2">
      <c r="E62" s="1312"/>
      <c r="F62" s="1312"/>
      <c r="I62" s="1312"/>
      <c r="J62" s="1312"/>
      <c r="K62" s="1312"/>
    </row>
    <row r="63" spans="5:11" x14ac:dyDescent="0.2">
      <c r="E63" s="1312"/>
      <c r="F63" s="1312"/>
      <c r="I63" s="1312"/>
      <c r="J63" s="1312"/>
      <c r="K63" s="1312"/>
    </row>
    <row r="64" spans="5:11" x14ac:dyDescent="0.2">
      <c r="E64" s="1312"/>
      <c r="F64" s="1312"/>
      <c r="I64" s="1312"/>
      <c r="J64" s="1312"/>
      <c r="K64" s="1312"/>
    </row>
    <row r="65" spans="1:12" x14ac:dyDescent="0.2">
      <c r="E65" s="1312"/>
      <c r="F65" s="1312"/>
      <c r="I65" s="1312"/>
      <c r="J65" s="1312"/>
      <c r="K65" s="1312"/>
    </row>
    <row r="66" spans="1:12" x14ac:dyDescent="0.2">
      <c r="E66" s="1312"/>
      <c r="F66" s="1312"/>
      <c r="I66" s="1312"/>
      <c r="J66" s="1312"/>
      <c r="K66" s="1312"/>
    </row>
    <row r="67" spans="1:12" x14ac:dyDescent="0.2">
      <c r="E67" s="1312"/>
      <c r="F67" s="1312"/>
      <c r="I67" s="1312"/>
      <c r="J67" s="1312"/>
      <c r="K67" s="1312"/>
    </row>
    <row r="73" spans="1:12" ht="13.5" thickBot="1" x14ac:dyDescent="0.25"/>
    <row r="74" spans="1:12" x14ac:dyDescent="0.2">
      <c r="A74" s="1323"/>
      <c r="B74" s="1322"/>
      <c r="C74" s="1322"/>
      <c r="D74" s="1322"/>
      <c r="E74" s="1321"/>
      <c r="F74" s="1321"/>
      <c r="G74" s="1322"/>
      <c r="H74" s="1322"/>
      <c r="I74" s="1321"/>
      <c r="J74" s="1321"/>
      <c r="K74" s="1321"/>
      <c r="L74" s="1320"/>
    </row>
    <row r="75" spans="1:12" x14ac:dyDescent="0.2">
      <c r="A75" s="1314"/>
      <c r="E75" s="1312"/>
      <c r="F75" s="1312"/>
      <c r="I75" s="1312"/>
      <c r="J75" s="1312"/>
      <c r="K75" s="1312"/>
      <c r="L75" s="1311"/>
    </row>
    <row r="76" spans="1:12" x14ac:dyDescent="0.2">
      <c r="A76" s="1314"/>
      <c r="E76" s="1312"/>
      <c r="F76" s="1312"/>
      <c r="I76" s="1312"/>
      <c r="J76" s="1312"/>
      <c r="K76" s="1312"/>
      <c r="L76" s="1311"/>
    </row>
    <row r="77" spans="1:12" x14ac:dyDescent="0.2">
      <c r="A77" s="1314"/>
      <c r="E77" s="1312"/>
      <c r="F77" s="1312"/>
      <c r="I77" s="1312"/>
      <c r="J77" s="1312"/>
      <c r="K77" s="1312"/>
      <c r="L77" s="1311"/>
    </row>
    <row r="78" spans="1:12" x14ac:dyDescent="0.2">
      <c r="A78" s="1314"/>
      <c r="E78" s="1312"/>
      <c r="F78" s="1312"/>
      <c r="I78" s="1312"/>
      <c r="J78" s="1312"/>
      <c r="K78" s="1312"/>
      <c r="L78" s="1311"/>
    </row>
    <row r="79" spans="1:12" x14ac:dyDescent="0.2">
      <c r="A79" s="1314"/>
      <c r="E79" s="1312"/>
      <c r="F79" s="1312"/>
      <c r="I79" s="1312"/>
      <c r="J79" s="1312"/>
      <c r="K79" s="1312"/>
      <c r="L79" s="1311"/>
    </row>
    <row r="80" spans="1:12" x14ac:dyDescent="0.2">
      <c r="A80" s="1314"/>
      <c r="E80" s="1312"/>
      <c r="F80" s="1312"/>
      <c r="I80" s="1313"/>
      <c r="J80" s="1312"/>
      <c r="K80" s="1312"/>
      <c r="L80" s="1311"/>
    </row>
    <row r="81" spans="1:12" x14ac:dyDescent="0.2">
      <c r="A81" s="1314"/>
      <c r="E81" s="1312"/>
      <c r="F81" s="1312"/>
      <c r="I81" s="1313"/>
      <c r="J81" s="1312"/>
      <c r="K81" s="1312"/>
      <c r="L81" s="1311"/>
    </row>
    <row r="82" spans="1:12" x14ac:dyDescent="0.2">
      <c r="A82" s="1314"/>
      <c r="E82" s="1312"/>
      <c r="F82" s="1312"/>
      <c r="I82" s="1313"/>
      <c r="J82" s="1312"/>
      <c r="K82" s="1312"/>
      <c r="L82" s="1311"/>
    </row>
    <row r="83" spans="1:12" x14ac:dyDescent="0.2">
      <c r="A83" s="1314"/>
      <c r="E83" s="1312"/>
      <c r="F83" s="1312"/>
      <c r="I83" s="1313"/>
      <c r="J83" s="1312"/>
      <c r="K83" s="1312"/>
      <c r="L83" s="1311"/>
    </row>
    <row r="84" spans="1:12" x14ac:dyDescent="0.2">
      <c r="A84" s="1314"/>
      <c r="E84" s="1312"/>
      <c r="F84" s="1312"/>
      <c r="I84" s="1313"/>
      <c r="J84" s="1312"/>
      <c r="K84" s="1312"/>
      <c r="L84" s="1311"/>
    </row>
    <row r="85" spans="1:12" x14ac:dyDescent="0.2">
      <c r="A85" s="1314"/>
      <c r="E85" s="1312"/>
      <c r="F85" s="1312"/>
      <c r="I85" s="1313"/>
      <c r="J85" s="1312"/>
      <c r="K85" s="1312"/>
      <c r="L85" s="1311"/>
    </row>
    <row r="86" spans="1:12" x14ac:dyDescent="0.2">
      <c r="A86" s="1314"/>
      <c r="E86" s="1312"/>
      <c r="F86" s="1312"/>
      <c r="I86" s="1313"/>
      <c r="J86" s="1312"/>
      <c r="K86" s="1312"/>
      <c r="L86" s="1311"/>
    </row>
    <row r="87" spans="1:12" x14ac:dyDescent="0.2">
      <c r="A87" s="1314"/>
      <c r="E87" s="1312"/>
      <c r="F87" s="1312"/>
      <c r="I87" s="1313"/>
      <c r="J87" s="1312"/>
      <c r="K87" s="1312"/>
      <c r="L87" s="1311"/>
    </row>
    <row r="88" spans="1:12" x14ac:dyDescent="0.2">
      <c r="A88" s="1319"/>
      <c r="B88" s="1318"/>
      <c r="C88" s="1318"/>
      <c r="D88" s="1318"/>
      <c r="E88" s="1316"/>
      <c r="F88" s="1316"/>
      <c r="G88" s="1318"/>
      <c r="H88" s="1318"/>
      <c r="I88" s="1317"/>
      <c r="J88" s="1316"/>
      <c r="K88" s="1316"/>
      <c r="L88" s="1315"/>
    </row>
    <row r="89" spans="1:12" x14ac:dyDescent="0.2">
      <c r="A89" s="1314"/>
      <c r="E89" s="1312"/>
      <c r="F89" s="1312"/>
      <c r="I89" s="1313"/>
      <c r="J89" s="1312"/>
      <c r="K89" s="1312"/>
      <c r="L89" s="1311"/>
    </row>
    <row r="90" spans="1:12" x14ac:dyDescent="0.2">
      <c r="A90" s="1314"/>
      <c r="E90" s="1312"/>
      <c r="F90" s="1312"/>
      <c r="I90" s="1313"/>
      <c r="J90" s="1312"/>
      <c r="K90" s="1312"/>
      <c r="L90" s="1311"/>
    </row>
    <row r="91" spans="1:12" ht="13.5" thickBot="1" x14ac:dyDescent="0.25">
      <c r="A91" s="1310"/>
      <c r="B91" s="1309"/>
      <c r="C91" s="1309"/>
      <c r="D91" s="1309"/>
      <c r="E91" s="1307"/>
      <c r="F91" s="1307"/>
      <c r="G91" s="1309"/>
      <c r="H91" s="1309"/>
      <c r="I91" s="1308"/>
      <c r="J91" s="1307"/>
      <c r="K91" s="1307"/>
      <c r="L91" s="1306"/>
    </row>
  </sheetData>
  <mergeCells count="1">
    <mergeCell ref="A27:G27"/>
  </mergeCells>
  <printOptions horizontalCentered="1"/>
  <pageMargins left="0.7" right="0.7" top="1.25" bottom="0.75" header="0.82" footer="0.3"/>
  <pageSetup orientation="landscape" r:id="rId1"/>
  <headerFooter>
    <oddHeader>&amp;C&amp;"-,Bold"&amp;12CITY OF ALLEN
PROJECTED COST / SAVINGS RECONCILIATION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R91"/>
  <sheetViews>
    <sheetView view="pageBreakPreview" zoomScale="125" zoomScaleNormal="125" zoomScaleSheetLayoutView="125" zoomScalePageLayoutView="125" workbookViewId="0">
      <selection activeCell="D2" sqref="D2:D34"/>
    </sheetView>
  </sheetViews>
  <sheetFormatPr defaultColWidth="8.85546875" defaultRowHeight="12.75" x14ac:dyDescent="0.2"/>
  <cols>
    <col min="1" max="1" width="43.5703125" customWidth="1"/>
    <col min="2" max="2" width="16.7109375" customWidth="1"/>
    <col min="3" max="3" width="14.42578125" customWidth="1"/>
    <col min="4" max="4" width="16.7109375" customWidth="1"/>
    <col min="5" max="5" width="15.7109375" customWidth="1"/>
    <col min="6" max="6" width="15.5703125" customWidth="1"/>
    <col min="7" max="10" width="17.140625" customWidth="1"/>
    <col min="11" max="11" width="13.85546875" bestFit="1" customWidth="1"/>
  </cols>
  <sheetData>
    <row r="1" spans="1:11" ht="13.5" thickBot="1" x14ac:dyDescent="0.25">
      <c r="A1" s="916" t="s">
        <v>663</v>
      </c>
      <c r="B1" s="917" t="s">
        <v>108</v>
      </c>
      <c r="C1" s="917" t="s">
        <v>108</v>
      </c>
      <c r="D1" s="917" t="s">
        <v>108</v>
      </c>
      <c r="E1" s="917"/>
      <c r="F1" s="917"/>
      <c r="G1" s="917" t="s">
        <v>108</v>
      </c>
    </row>
    <row r="2" spans="1:11" x14ac:dyDescent="0.2">
      <c r="A2" s="1209" t="s">
        <v>418</v>
      </c>
      <c r="B2" s="692" t="s">
        <v>49</v>
      </c>
      <c r="C2" s="692" t="s">
        <v>74</v>
      </c>
      <c r="D2" s="693" t="s">
        <v>598</v>
      </c>
      <c r="E2" s="693" t="s">
        <v>91</v>
      </c>
      <c r="F2" s="694" t="s">
        <v>87</v>
      </c>
      <c r="G2" s="950" t="s">
        <v>658</v>
      </c>
      <c r="H2" s="937" t="s">
        <v>74</v>
      </c>
      <c r="I2" s="693" t="s">
        <v>648</v>
      </c>
      <c r="J2" s="949" t="s">
        <v>240</v>
      </c>
    </row>
    <row r="3" spans="1:11" x14ac:dyDescent="0.2">
      <c r="A3" s="1210" t="s">
        <v>419</v>
      </c>
      <c r="B3" s="695" t="s">
        <v>175</v>
      </c>
      <c r="C3" s="695" t="s">
        <v>74</v>
      </c>
      <c r="D3" s="696" t="s">
        <v>600</v>
      </c>
      <c r="E3" s="695" t="s">
        <v>91</v>
      </c>
      <c r="F3" s="697" t="s">
        <v>87</v>
      </c>
      <c r="G3" s="1197" t="str">
        <f>G2</f>
        <v>Serve You</v>
      </c>
      <c r="H3" s="938" t="s">
        <v>698</v>
      </c>
      <c r="I3" s="695" t="s">
        <v>648</v>
      </c>
      <c r="J3" s="695" t="s">
        <v>653</v>
      </c>
      <c r="K3" s="1009"/>
    </row>
    <row r="4" spans="1:11" x14ac:dyDescent="0.2">
      <c r="A4" s="698" t="s">
        <v>390</v>
      </c>
      <c r="B4" s="699" t="s">
        <v>34</v>
      </c>
      <c r="C4" s="699" t="s">
        <v>34</v>
      </c>
      <c r="D4" s="829" t="s">
        <v>34</v>
      </c>
      <c r="E4" s="699" t="s">
        <v>34</v>
      </c>
      <c r="F4" s="700" t="s">
        <v>34</v>
      </c>
      <c r="G4" s="1198" t="s">
        <v>34</v>
      </c>
      <c r="H4" s="939" t="s">
        <v>34</v>
      </c>
      <c r="I4" s="699" t="s">
        <v>34</v>
      </c>
      <c r="J4" s="699" t="s">
        <v>34</v>
      </c>
      <c r="K4" s="1009"/>
    </row>
    <row r="5" spans="1:11" x14ac:dyDescent="0.2">
      <c r="A5" s="701" t="s">
        <v>391</v>
      </c>
      <c r="B5" s="702">
        <v>0</v>
      </c>
      <c r="C5" s="702">
        <v>0</v>
      </c>
      <c r="D5" s="703">
        <v>0</v>
      </c>
      <c r="E5" s="702">
        <v>0</v>
      </c>
      <c r="F5" s="704">
        <v>0</v>
      </c>
      <c r="G5" s="1199">
        <v>0</v>
      </c>
      <c r="H5" s="940">
        <v>0</v>
      </c>
      <c r="I5" s="702">
        <v>0</v>
      </c>
      <c r="J5" s="702">
        <v>0</v>
      </c>
      <c r="K5" s="1009"/>
    </row>
    <row r="6" spans="1:11" ht="18" customHeight="1" x14ac:dyDescent="0.2">
      <c r="A6" s="698" t="s">
        <v>392</v>
      </c>
      <c r="B6" s="705">
        <v>0</v>
      </c>
      <c r="C6" s="705">
        <v>0</v>
      </c>
      <c r="D6" s="828">
        <v>0</v>
      </c>
      <c r="E6" s="705">
        <v>0</v>
      </c>
      <c r="F6" s="706">
        <v>0</v>
      </c>
      <c r="G6" s="1200">
        <v>0</v>
      </c>
      <c r="H6" s="726">
        <v>0</v>
      </c>
      <c r="I6" s="705">
        <v>0</v>
      </c>
      <c r="J6" s="705">
        <v>0</v>
      </c>
      <c r="K6" s="1009"/>
    </row>
    <row r="7" spans="1:11" x14ac:dyDescent="0.2">
      <c r="A7" s="707" t="s">
        <v>393</v>
      </c>
      <c r="B7" s="708"/>
      <c r="C7" s="708"/>
      <c r="D7" s="709"/>
      <c r="E7" s="708"/>
      <c r="F7" s="710"/>
      <c r="G7" s="1201"/>
      <c r="H7" s="941"/>
      <c r="I7" s="708"/>
      <c r="J7" s="708"/>
      <c r="K7" s="1009"/>
    </row>
    <row r="8" spans="1:11" x14ac:dyDescent="0.2">
      <c r="A8" s="711" t="s">
        <v>394</v>
      </c>
      <c r="B8" s="705">
        <v>1.25</v>
      </c>
      <c r="C8" s="705">
        <v>1.1000000000000001</v>
      </c>
      <c r="D8" s="828">
        <v>1.25</v>
      </c>
      <c r="E8" s="705">
        <v>1.1000000000000001</v>
      </c>
      <c r="F8" s="706">
        <v>1.08</v>
      </c>
      <c r="G8" s="1200">
        <v>0.95</v>
      </c>
      <c r="H8" s="726">
        <v>1</v>
      </c>
      <c r="I8" s="705">
        <v>1</v>
      </c>
      <c r="J8" s="705">
        <v>1.25</v>
      </c>
      <c r="K8" s="1009"/>
    </row>
    <row r="9" spans="1:11" x14ac:dyDescent="0.2">
      <c r="A9" s="711" t="s">
        <v>395</v>
      </c>
      <c r="B9" s="705">
        <v>0</v>
      </c>
      <c r="C9" s="705">
        <v>0</v>
      </c>
      <c r="D9" s="828">
        <v>0</v>
      </c>
      <c r="E9" s="705">
        <v>0</v>
      </c>
      <c r="F9" s="706">
        <v>0</v>
      </c>
      <c r="G9" s="1200">
        <v>0</v>
      </c>
      <c r="H9" s="726">
        <v>0</v>
      </c>
      <c r="I9" s="705">
        <v>0</v>
      </c>
      <c r="J9" s="705">
        <v>0</v>
      </c>
      <c r="K9" s="1009"/>
    </row>
    <row r="10" spans="1:11" x14ac:dyDescent="0.2">
      <c r="A10" s="711" t="s">
        <v>396</v>
      </c>
      <c r="B10" s="705" t="s">
        <v>34</v>
      </c>
      <c r="C10" s="705">
        <v>1</v>
      </c>
      <c r="D10" s="828" t="s">
        <v>34</v>
      </c>
      <c r="E10" s="705">
        <v>0</v>
      </c>
      <c r="F10" s="706" t="s">
        <v>34</v>
      </c>
      <c r="G10" s="1200">
        <v>0.25</v>
      </c>
      <c r="H10" s="726" t="s">
        <v>34</v>
      </c>
      <c r="I10" s="705" t="s">
        <v>34</v>
      </c>
      <c r="J10" s="705" t="s">
        <v>34</v>
      </c>
      <c r="K10" s="1009"/>
    </row>
    <row r="11" spans="1:11" x14ac:dyDescent="0.2">
      <c r="A11" s="707" t="s">
        <v>397</v>
      </c>
      <c r="B11" s="712"/>
      <c r="C11" s="712"/>
      <c r="D11" s="713"/>
      <c r="E11" s="712"/>
      <c r="F11" s="714"/>
      <c r="G11" s="1202"/>
      <c r="H11" s="942"/>
      <c r="I11" s="712"/>
      <c r="J11" s="712"/>
      <c r="K11" s="1009"/>
    </row>
    <row r="12" spans="1:11" x14ac:dyDescent="0.2">
      <c r="A12" s="711" t="s">
        <v>398</v>
      </c>
      <c r="B12" s="716" t="s">
        <v>579</v>
      </c>
      <c r="C12" s="715" t="s">
        <v>429</v>
      </c>
      <c r="D12" s="716" t="s">
        <v>601</v>
      </c>
      <c r="E12" s="715" t="s">
        <v>429</v>
      </c>
      <c r="F12" s="717" t="s">
        <v>514</v>
      </c>
      <c r="G12" s="1203" t="s">
        <v>429</v>
      </c>
      <c r="H12" s="943" t="s">
        <v>601</v>
      </c>
      <c r="I12" s="715" t="s">
        <v>601</v>
      </c>
      <c r="J12" s="715" t="s">
        <v>655</v>
      </c>
      <c r="K12" s="1009"/>
    </row>
    <row r="13" spans="1:11" x14ac:dyDescent="0.2">
      <c r="A13" s="711" t="s">
        <v>399</v>
      </c>
      <c r="B13" s="716" t="s">
        <v>34</v>
      </c>
      <c r="C13" s="715" t="s">
        <v>623</v>
      </c>
      <c r="D13" s="716" t="s">
        <v>34</v>
      </c>
      <c r="E13" s="715" t="s">
        <v>602</v>
      </c>
      <c r="F13" s="717" t="s">
        <v>34</v>
      </c>
      <c r="G13" s="1203" t="s">
        <v>659</v>
      </c>
      <c r="H13" s="943" t="s">
        <v>34</v>
      </c>
      <c r="I13" s="715" t="s">
        <v>34</v>
      </c>
      <c r="J13" s="715" t="s">
        <v>34</v>
      </c>
      <c r="K13" s="1009"/>
    </row>
    <row r="14" spans="1:11" x14ac:dyDescent="0.2">
      <c r="A14" s="711" t="s">
        <v>400</v>
      </c>
      <c r="B14" s="716" t="s">
        <v>580</v>
      </c>
      <c r="C14" s="715" t="s">
        <v>624</v>
      </c>
      <c r="D14" s="716" t="s">
        <v>602</v>
      </c>
      <c r="E14" s="715" t="s">
        <v>602</v>
      </c>
      <c r="F14" s="717" t="s">
        <v>516</v>
      </c>
      <c r="G14" s="1203" t="s">
        <v>660</v>
      </c>
      <c r="H14" s="943" t="s">
        <v>623</v>
      </c>
      <c r="I14" s="715" t="s">
        <v>602</v>
      </c>
      <c r="J14" s="715" t="s">
        <v>657</v>
      </c>
      <c r="K14" s="1009"/>
    </row>
    <row r="15" spans="1:11" x14ac:dyDescent="0.2">
      <c r="A15" s="711" t="s">
        <v>401</v>
      </c>
      <c r="B15" s="716" t="s">
        <v>581</v>
      </c>
      <c r="C15" s="715" t="s">
        <v>620</v>
      </c>
      <c r="D15" s="716" t="s">
        <v>603</v>
      </c>
      <c r="E15" s="715" t="s">
        <v>612</v>
      </c>
      <c r="F15" s="717" t="s">
        <v>513</v>
      </c>
      <c r="G15" s="1203" t="s">
        <v>620</v>
      </c>
      <c r="H15" s="943" t="s">
        <v>620</v>
      </c>
      <c r="I15" s="715" t="s">
        <v>649</v>
      </c>
      <c r="J15" s="715" t="s">
        <v>656</v>
      </c>
      <c r="K15" s="1009"/>
    </row>
    <row r="16" spans="1:11" x14ac:dyDescent="0.2">
      <c r="A16" s="711" t="s">
        <v>402</v>
      </c>
      <c r="B16" s="716" t="s">
        <v>34</v>
      </c>
      <c r="C16" s="715" t="s">
        <v>621</v>
      </c>
      <c r="D16" s="716" t="s">
        <v>34</v>
      </c>
      <c r="E16" s="715" t="s">
        <v>613</v>
      </c>
      <c r="F16" s="717" t="s">
        <v>34</v>
      </c>
      <c r="G16" s="1203" t="s">
        <v>621</v>
      </c>
      <c r="H16" s="943" t="s">
        <v>34</v>
      </c>
      <c r="I16" s="715" t="s">
        <v>34</v>
      </c>
      <c r="J16" s="715" t="s">
        <v>34</v>
      </c>
      <c r="K16" s="1009"/>
    </row>
    <row r="17" spans="1:14" x14ac:dyDescent="0.2">
      <c r="A17" s="711" t="s">
        <v>403</v>
      </c>
      <c r="B17" s="716" t="s">
        <v>582</v>
      </c>
      <c r="C17" s="715" t="s">
        <v>622</v>
      </c>
      <c r="D17" s="716" t="s">
        <v>604</v>
      </c>
      <c r="E17" s="715" t="s">
        <v>613</v>
      </c>
      <c r="F17" s="717" t="s">
        <v>515</v>
      </c>
      <c r="G17" s="1203" t="s">
        <v>620</v>
      </c>
      <c r="H17" s="943" t="s">
        <v>656</v>
      </c>
      <c r="I17" s="715" t="s">
        <v>622</v>
      </c>
      <c r="J17" s="715" t="s">
        <v>498</v>
      </c>
      <c r="K17" s="1009"/>
    </row>
    <row r="18" spans="1:14" x14ac:dyDescent="0.2">
      <c r="A18" s="718" t="s">
        <v>591</v>
      </c>
      <c r="B18" s="702" t="s">
        <v>592</v>
      </c>
      <c r="C18" s="702" t="s">
        <v>628</v>
      </c>
      <c r="D18" s="703" t="s">
        <v>601</v>
      </c>
      <c r="E18" s="702" t="s">
        <v>617</v>
      </c>
      <c r="F18" s="704" t="s">
        <v>172</v>
      </c>
      <c r="G18" s="1199" t="s">
        <v>661</v>
      </c>
      <c r="H18" s="940" t="s">
        <v>699</v>
      </c>
      <c r="I18" s="702" t="s">
        <v>650</v>
      </c>
      <c r="J18" s="702" t="s">
        <v>628</v>
      </c>
      <c r="K18" s="1009"/>
    </row>
    <row r="19" spans="1:14" x14ac:dyDescent="0.2">
      <c r="A19" s="707" t="s">
        <v>404</v>
      </c>
      <c r="B19" s="712"/>
      <c r="C19" s="712"/>
      <c r="D19" s="713"/>
      <c r="E19" s="712"/>
      <c r="F19" s="714"/>
      <c r="G19" s="1202"/>
      <c r="H19" s="942"/>
      <c r="I19" s="712"/>
      <c r="J19" s="712"/>
      <c r="K19" s="1009"/>
    </row>
    <row r="20" spans="1:14" x14ac:dyDescent="0.2">
      <c r="A20" s="711" t="s">
        <v>405</v>
      </c>
      <c r="B20" s="715" t="s">
        <v>172</v>
      </c>
      <c r="C20" s="715" t="s">
        <v>172</v>
      </c>
      <c r="D20" s="716" t="s">
        <v>172</v>
      </c>
      <c r="E20" s="715" t="s">
        <v>172</v>
      </c>
      <c r="F20" s="717" t="s">
        <v>172</v>
      </c>
      <c r="G20" s="1203" t="s">
        <v>172</v>
      </c>
      <c r="H20" s="943" t="s">
        <v>172</v>
      </c>
      <c r="I20" s="715" t="s">
        <v>172</v>
      </c>
      <c r="J20" s="715" t="s">
        <v>172</v>
      </c>
      <c r="K20" s="1009"/>
    </row>
    <row r="21" spans="1:14" x14ac:dyDescent="0.2">
      <c r="A21" s="711" t="s">
        <v>406</v>
      </c>
      <c r="B21" s="715" t="s">
        <v>172</v>
      </c>
      <c r="C21" s="715" t="s">
        <v>172</v>
      </c>
      <c r="D21" s="716" t="s">
        <v>605</v>
      </c>
      <c r="E21" s="715" t="s">
        <v>172</v>
      </c>
      <c r="F21" s="717" t="s">
        <v>172</v>
      </c>
      <c r="G21" s="1203" t="s">
        <v>651</v>
      </c>
      <c r="H21" s="943" t="s">
        <v>605</v>
      </c>
      <c r="I21" s="715" t="s">
        <v>651</v>
      </c>
      <c r="J21" s="715" t="s">
        <v>172</v>
      </c>
      <c r="K21" s="1009"/>
    </row>
    <row r="22" spans="1:14" x14ac:dyDescent="0.2">
      <c r="A22" s="718" t="s">
        <v>407</v>
      </c>
      <c r="B22" s="702" t="s">
        <v>172</v>
      </c>
      <c r="C22" s="702" t="s">
        <v>172</v>
      </c>
      <c r="D22" s="703" t="s">
        <v>172</v>
      </c>
      <c r="E22" s="702" t="s">
        <v>172</v>
      </c>
      <c r="F22" s="704" t="s">
        <v>172</v>
      </c>
      <c r="G22" s="1199" t="s">
        <v>172</v>
      </c>
      <c r="H22" s="940" t="s">
        <v>172</v>
      </c>
      <c r="I22" s="702" t="s">
        <v>172</v>
      </c>
      <c r="J22" s="702" t="s">
        <v>172</v>
      </c>
      <c r="K22" s="1009"/>
    </row>
    <row r="23" spans="1:14" x14ac:dyDescent="0.2">
      <c r="A23" s="711" t="s">
        <v>408</v>
      </c>
      <c r="B23" s="699"/>
      <c r="C23" s="699"/>
      <c r="D23" s="829"/>
      <c r="E23" s="699"/>
      <c r="F23" s="700"/>
      <c r="G23" s="1198"/>
      <c r="H23" s="939"/>
      <c r="I23" s="699"/>
      <c r="J23" s="699"/>
      <c r="K23" s="1009"/>
    </row>
    <row r="24" spans="1:14" x14ac:dyDescent="0.2">
      <c r="A24" s="711" t="s">
        <v>409</v>
      </c>
      <c r="B24" s="699" t="s">
        <v>172</v>
      </c>
      <c r="C24" s="699" t="s">
        <v>172</v>
      </c>
      <c r="D24" s="829" t="s">
        <v>172</v>
      </c>
      <c r="E24" s="699" t="s">
        <v>172</v>
      </c>
      <c r="F24" s="700" t="s">
        <v>172</v>
      </c>
      <c r="G24" s="1198" t="s">
        <v>172</v>
      </c>
      <c r="H24" s="939" t="s">
        <v>172</v>
      </c>
      <c r="I24" s="699" t="s">
        <v>172</v>
      </c>
      <c r="J24" s="699" t="s">
        <v>172</v>
      </c>
      <c r="K24" s="1009"/>
    </row>
    <row r="25" spans="1:14" x14ac:dyDescent="0.2">
      <c r="A25" s="719" t="s">
        <v>410</v>
      </c>
      <c r="B25" s="720" t="s">
        <v>172</v>
      </c>
      <c r="C25" s="720" t="s">
        <v>172</v>
      </c>
      <c r="D25" s="721" t="s">
        <v>172</v>
      </c>
      <c r="E25" s="720" t="s">
        <v>172</v>
      </c>
      <c r="F25" s="722" t="s">
        <v>172</v>
      </c>
      <c r="G25" s="1204" t="s">
        <v>172</v>
      </c>
      <c r="H25" s="944" t="s">
        <v>172</v>
      </c>
      <c r="I25" s="720" t="s">
        <v>172</v>
      </c>
      <c r="J25" s="720" t="s">
        <v>172</v>
      </c>
      <c r="K25" s="1009"/>
    </row>
    <row r="26" spans="1:14" x14ac:dyDescent="0.2">
      <c r="A26" s="711" t="s">
        <v>411</v>
      </c>
      <c r="B26" s="713"/>
      <c r="C26" s="712"/>
      <c r="D26" s="713"/>
      <c r="E26" s="712"/>
      <c r="F26" s="714"/>
      <c r="G26" s="1202"/>
      <c r="H26" s="942"/>
      <c r="I26" s="712"/>
      <c r="J26" s="712"/>
      <c r="K26" s="1009"/>
    </row>
    <row r="27" spans="1:14" ht="15" customHeight="1" x14ac:dyDescent="0.2">
      <c r="A27" s="711" t="s">
        <v>412</v>
      </c>
      <c r="B27" s="1501" t="s">
        <v>583</v>
      </c>
      <c r="C27" s="1501" t="s">
        <v>546</v>
      </c>
      <c r="D27" s="830">
        <v>35</v>
      </c>
      <c r="E27" s="870">
        <v>69.3</v>
      </c>
      <c r="F27" s="1498" t="s">
        <v>637</v>
      </c>
      <c r="G27" s="1205">
        <v>68.13</v>
      </c>
      <c r="H27" s="945">
        <v>62.04</v>
      </c>
      <c r="I27" s="870">
        <v>68.13</v>
      </c>
      <c r="J27" s="870">
        <v>46.8</v>
      </c>
      <c r="K27" s="1009"/>
    </row>
    <row r="28" spans="1:14" x14ac:dyDescent="0.2">
      <c r="A28" s="711" t="s">
        <v>615</v>
      </c>
      <c r="B28" s="1502"/>
      <c r="C28" s="1502"/>
      <c r="D28" s="830">
        <v>95</v>
      </c>
      <c r="E28" s="870">
        <v>463.22</v>
      </c>
      <c r="F28" s="1499"/>
      <c r="G28" s="1205">
        <v>224.03</v>
      </c>
      <c r="H28" s="945">
        <v>186.12</v>
      </c>
      <c r="I28" s="870">
        <v>224.03</v>
      </c>
      <c r="J28" s="870">
        <v>164.1</v>
      </c>
      <c r="K28" s="1009"/>
    </row>
    <row r="29" spans="1:14" x14ac:dyDescent="0.2">
      <c r="A29" s="719" t="s">
        <v>614</v>
      </c>
      <c r="B29" s="1503"/>
      <c r="C29" s="1503"/>
      <c r="D29" s="834" t="s">
        <v>34</v>
      </c>
      <c r="E29" s="839">
        <v>233.64</v>
      </c>
      <c r="F29" s="1500"/>
      <c r="G29" s="1206" t="s">
        <v>34</v>
      </c>
      <c r="H29" s="946">
        <v>86.85</v>
      </c>
      <c r="I29" s="839" t="s">
        <v>34</v>
      </c>
      <c r="J29" s="839" t="s">
        <v>34</v>
      </c>
      <c r="K29" s="1009"/>
    </row>
    <row r="30" spans="1:14" x14ac:dyDescent="0.2">
      <c r="A30" s="719" t="s">
        <v>616</v>
      </c>
      <c r="B30" s="834">
        <v>-26.03</v>
      </c>
      <c r="C30" s="839">
        <v>-28.32</v>
      </c>
      <c r="D30" s="834">
        <f>'2018 Renewal - Fixed Fees'!E34</f>
        <v>-17.770410816432658</v>
      </c>
      <c r="E30" s="839">
        <v>-30</v>
      </c>
      <c r="F30" s="948">
        <v>-23.94</v>
      </c>
      <c r="G30" s="1206">
        <v>-46.55</v>
      </c>
      <c r="H30" s="946">
        <f>H31/'2018 Renewal - Fixed Fees'!B69/12</f>
        <v>-35.004680187207491</v>
      </c>
      <c r="I30" s="839">
        <f>B30</f>
        <v>-26.03</v>
      </c>
      <c r="J30" s="839"/>
      <c r="K30" s="1130"/>
    </row>
    <row r="31" spans="1:14" x14ac:dyDescent="0.2">
      <c r="A31" s="719"/>
      <c r="B31" s="965">
        <f>(B30*641)*12</f>
        <v>-200222.76</v>
      </c>
      <c r="C31" s="965">
        <f>(C30*641)*12</f>
        <v>-217837.44</v>
      </c>
      <c r="D31" s="1418">
        <f t="shared" ref="D31:J31" si="0">(D30*641)*12</f>
        <v>-136690</v>
      </c>
      <c r="E31" s="965">
        <f>(E30*641)*12</f>
        <v>-230760</v>
      </c>
      <c r="F31" s="1208">
        <f t="shared" si="0"/>
        <v>-184146.48</v>
      </c>
      <c r="G31" s="1206">
        <f t="shared" si="0"/>
        <v>-358062.6</v>
      </c>
      <c r="H31" s="946">
        <v>-269256</v>
      </c>
      <c r="I31" s="839">
        <f t="shared" si="0"/>
        <v>-200222.76</v>
      </c>
      <c r="J31" s="839">
        <f t="shared" si="0"/>
        <v>0</v>
      </c>
      <c r="K31" s="1130"/>
    </row>
    <row r="32" spans="1:14" x14ac:dyDescent="0.2">
      <c r="A32" s="719" t="s">
        <v>413</v>
      </c>
      <c r="B32" s="720" t="s">
        <v>254</v>
      </c>
      <c r="C32" s="720" t="s">
        <v>254</v>
      </c>
      <c r="D32" s="721" t="s">
        <v>498</v>
      </c>
      <c r="E32" s="720" t="s">
        <v>172</v>
      </c>
      <c r="F32" s="722" t="s">
        <v>254</v>
      </c>
      <c r="G32" s="1204" t="s">
        <v>172</v>
      </c>
      <c r="H32" s="944" t="s">
        <v>378</v>
      </c>
      <c r="I32" s="720" t="s">
        <v>378</v>
      </c>
      <c r="J32" s="720" t="s">
        <v>249</v>
      </c>
      <c r="K32" s="1130">
        <f>1360483-269256</f>
        <v>1091227</v>
      </c>
      <c r="M32">
        <v>28.96</v>
      </c>
      <c r="N32">
        <v>28.45</v>
      </c>
    </row>
    <row r="33" spans="1:18" x14ac:dyDescent="0.2">
      <c r="A33" s="711" t="s">
        <v>416</v>
      </c>
      <c r="B33" s="699" t="s">
        <v>172</v>
      </c>
      <c r="C33" s="699" t="s">
        <v>172</v>
      </c>
      <c r="D33" s="829" t="s">
        <v>172</v>
      </c>
      <c r="E33" s="699" t="s">
        <v>378</v>
      </c>
      <c r="F33" s="700" t="s">
        <v>378</v>
      </c>
      <c r="G33" s="1198" t="s">
        <v>498</v>
      </c>
      <c r="H33" s="939" t="s">
        <v>172</v>
      </c>
      <c r="I33" s="699" t="s">
        <v>172</v>
      </c>
      <c r="J33" s="1128" t="s">
        <v>498</v>
      </c>
      <c r="K33" s="1009"/>
      <c r="M33">
        <v>97.09</v>
      </c>
      <c r="N33">
        <v>118</v>
      </c>
    </row>
    <row r="34" spans="1:18" ht="13.5" customHeight="1" thickBot="1" x14ac:dyDescent="0.25">
      <c r="A34" s="723" t="s">
        <v>417</v>
      </c>
      <c r="B34" s="724" t="s">
        <v>498</v>
      </c>
      <c r="C34" s="871" t="s">
        <v>498</v>
      </c>
      <c r="D34" s="724" t="s">
        <v>498</v>
      </c>
      <c r="E34" s="871" t="s">
        <v>172</v>
      </c>
      <c r="F34" s="725" t="s">
        <v>498</v>
      </c>
      <c r="G34" s="1207" t="s">
        <v>172</v>
      </c>
      <c r="H34" s="947" t="s">
        <v>172</v>
      </c>
      <c r="I34" s="871" t="s">
        <v>172</v>
      </c>
      <c r="J34" s="1128" t="s">
        <v>498</v>
      </c>
      <c r="K34" s="1009"/>
    </row>
    <row r="35" spans="1:18" ht="13.5" thickBot="1" x14ac:dyDescent="0.25">
      <c r="A35" s="495"/>
      <c r="B35" s="726"/>
      <c r="C35" s="726"/>
      <c r="D35" s="726"/>
      <c r="E35" s="726"/>
      <c r="F35" s="726"/>
      <c r="G35" s="726"/>
      <c r="H35" s="726"/>
      <c r="I35" s="705"/>
      <c r="J35" s="705"/>
      <c r="K35" s="1009"/>
    </row>
    <row r="36" spans="1:18" x14ac:dyDescent="0.2">
      <c r="A36" s="1209" t="s">
        <v>414</v>
      </c>
      <c r="B36" s="692" t="str">
        <f>B2</f>
        <v>UHC</v>
      </c>
      <c r="C36" s="692" t="str">
        <f>C3</f>
        <v>Aetna</v>
      </c>
      <c r="D36" s="693" t="str">
        <f>D3</f>
        <v>WellDyne Rx</v>
      </c>
      <c r="E36" s="692" t="str">
        <f>E3</f>
        <v>Cigna</v>
      </c>
      <c r="F36" s="694" t="s">
        <v>87</v>
      </c>
      <c r="G36" s="950" t="str">
        <f>G3</f>
        <v>Serve You</v>
      </c>
      <c r="H36" s="692" t="str">
        <f>H3</f>
        <v>Maxor Plus</v>
      </c>
      <c r="I36" s="692" t="str">
        <f>I3</f>
        <v>Benecard</v>
      </c>
      <c r="J36" s="692" t="s">
        <v>654</v>
      </c>
      <c r="K36" s="1009"/>
    </row>
    <row r="37" spans="1:18" ht="14.25" hidden="1" customHeight="1" x14ac:dyDescent="0.2">
      <c r="A37" s="727" t="s">
        <v>415</v>
      </c>
      <c r="B37" s="728">
        <v>0.99099999999999999</v>
      </c>
      <c r="C37" s="835">
        <v>0.97299999999999998</v>
      </c>
      <c r="D37" s="729">
        <v>0.99099999999999999</v>
      </c>
      <c r="E37" s="835"/>
      <c r="F37" s="730">
        <v>0.97299999999999998</v>
      </c>
      <c r="G37" s="951">
        <v>0.97299999999999998</v>
      </c>
      <c r="H37" s="835">
        <v>0.97299999999999998</v>
      </c>
      <c r="I37" s="835">
        <v>0.97299999999999998</v>
      </c>
      <c r="J37" s="835">
        <v>0.97299999999999998</v>
      </c>
      <c r="K37" s="1009"/>
    </row>
    <row r="38" spans="1:18" x14ac:dyDescent="0.2">
      <c r="A38" s="727" t="s">
        <v>450</v>
      </c>
      <c r="B38" s="729">
        <v>1</v>
      </c>
      <c r="C38" s="835">
        <v>0.98899999999999999</v>
      </c>
      <c r="D38" s="729">
        <v>0.98899999999999999</v>
      </c>
      <c r="E38" s="835">
        <v>0.995</v>
      </c>
      <c r="F38" s="730">
        <v>0.94369999999999998</v>
      </c>
      <c r="G38" s="951">
        <v>0.99399999999999999</v>
      </c>
      <c r="H38" s="835" t="s">
        <v>498</v>
      </c>
      <c r="I38" s="835" t="s">
        <v>498</v>
      </c>
      <c r="J38" s="836" t="s">
        <v>537</v>
      </c>
      <c r="K38" s="1009"/>
    </row>
    <row r="39" spans="1:18" hidden="1" x14ac:dyDescent="0.2">
      <c r="A39" s="727" t="s">
        <v>336</v>
      </c>
      <c r="B39" s="731" t="s">
        <v>428</v>
      </c>
      <c r="C39" s="840" t="s">
        <v>428</v>
      </c>
      <c r="D39" s="729" t="s">
        <v>373</v>
      </c>
      <c r="E39" s="835">
        <v>0.65</v>
      </c>
      <c r="F39" s="732" t="s">
        <v>428</v>
      </c>
      <c r="G39" s="1193" t="s">
        <v>428</v>
      </c>
      <c r="H39" s="840" t="s">
        <v>428</v>
      </c>
      <c r="I39" s="840" t="s">
        <v>428</v>
      </c>
      <c r="J39" s="836" t="s">
        <v>537</v>
      </c>
      <c r="K39" s="1009"/>
    </row>
    <row r="40" spans="1:18" x14ac:dyDescent="0.2">
      <c r="A40" s="727" t="s">
        <v>634</v>
      </c>
      <c r="B40" s="729" t="s">
        <v>34</v>
      </c>
      <c r="C40" s="935" t="s">
        <v>635</v>
      </c>
      <c r="D40" s="729" t="s">
        <v>373</v>
      </c>
      <c r="E40" s="835" t="s">
        <v>373</v>
      </c>
      <c r="F40" s="734" t="s">
        <v>537</v>
      </c>
      <c r="G40" s="1194" t="s">
        <v>373</v>
      </c>
      <c r="H40" s="840" t="s">
        <v>373</v>
      </c>
      <c r="I40" s="840" t="s">
        <v>373</v>
      </c>
      <c r="J40" s="836" t="s">
        <v>537</v>
      </c>
      <c r="K40" s="1009"/>
    </row>
    <row r="41" spans="1:18" ht="14.25" customHeight="1" x14ac:dyDescent="0.2">
      <c r="A41" s="727" t="s">
        <v>545</v>
      </c>
      <c r="B41" s="733">
        <f>B51</f>
        <v>86.605311992577128</v>
      </c>
      <c r="C41" s="836">
        <f>E51</f>
        <v>93.759626536766405</v>
      </c>
      <c r="D41" s="733">
        <f>D51</f>
        <v>80.741185339828348</v>
      </c>
      <c r="E41" s="836">
        <f>C51</f>
        <v>100.85432614242634</v>
      </c>
      <c r="F41" s="734" t="s">
        <v>537</v>
      </c>
      <c r="G41" s="952">
        <f>G42/17229</f>
        <v>91.196877357943009</v>
      </c>
      <c r="H41" s="836" t="s">
        <v>373</v>
      </c>
      <c r="I41" s="836" t="s">
        <v>652</v>
      </c>
      <c r="J41" s="836" t="s">
        <v>537</v>
      </c>
      <c r="K41" s="1009"/>
    </row>
    <row r="42" spans="1:18" x14ac:dyDescent="0.2">
      <c r="A42" s="727" t="s">
        <v>595</v>
      </c>
      <c r="B42" s="735">
        <v>1493422</v>
      </c>
      <c r="C42" s="837">
        <v>1616791</v>
      </c>
      <c r="D42" s="735">
        <f>1376153+16148</f>
        <v>1392301</v>
      </c>
      <c r="E42" s="837">
        <v>1739132</v>
      </c>
      <c r="F42" s="739" t="s">
        <v>537</v>
      </c>
      <c r="G42" s="952">
        <v>1571231</v>
      </c>
      <c r="H42" s="837">
        <f>1360483+16250.75</f>
        <v>1376733.75</v>
      </c>
      <c r="I42" s="837" t="s">
        <v>652</v>
      </c>
      <c r="J42" s="837" t="s">
        <v>537</v>
      </c>
      <c r="K42" s="1012">
        <f>G42+G31</f>
        <v>1213168.3999999999</v>
      </c>
      <c r="M42">
        <f>'2018 Renewal - Fixed Fees'!B45+'2018 Renewal - Fixed Fees'!B53</f>
        <v>58388.040000000037</v>
      </c>
      <c r="N42">
        <f>'2018 Renewal - Fixed Fees'!C45+'2018 Renewal - Fixed Fees'!C53</f>
        <v>-10686.119999999995</v>
      </c>
      <c r="O42">
        <f>'2018 Renewal - Fixed Fees'!I45+'2018 Renewal - Fixed Fees'!I53</f>
        <v>183779.65041081645</v>
      </c>
      <c r="P42">
        <f>'2018 Renewal - Fixed Fees'!E45+'2018 Renewal - Fixed Fees'!E53</f>
        <v>-19803.320000000007</v>
      </c>
      <c r="Q42">
        <f>'2018 Renewal - Fixed Fees'!F45+'2018 Renewal - Fixed Fees'!F53</f>
        <v>-6152.9999999999854</v>
      </c>
      <c r="R42">
        <f>'2018 Renewal - Fixed Fees'!D45+'2018 Renewal - Fixed Fees'!D53</f>
        <v>194939.22</v>
      </c>
    </row>
    <row r="43" spans="1:18" hidden="1" x14ac:dyDescent="0.2">
      <c r="A43" s="727" t="s">
        <v>562</v>
      </c>
      <c r="B43" s="735"/>
      <c r="C43" s="837"/>
      <c r="D43" s="735"/>
      <c r="E43" s="837"/>
      <c r="F43" s="739"/>
      <c r="G43" s="953"/>
      <c r="H43" s="837"/>
      <c r="I43" s="837"/>
      <c r="J43" s="837"/>
      <c r="K43" s="1009"/>
    </row>
    <row r="44" spans="1:18" x14ac:dyDescent="0.2">
      <c r="A44" s="727" t="s">
        <v>547</v>
      </c>
      <c r="B44" s="736" t="s">
        <v>34</v>
      </c>
      <c r="C44" s="837">
        <f>C42-B42</f>
        <v>123369</v>
      </c>
      <c r="D44" s="841">
        <f>D42-B42</f>
        <v>-101121</v>
      </c>
      <c r="E44" s="837">
        <f>E42-B42</f>
        <v>245710</v>
      </c>
      <c r="F44" s="739" t="s">
        <v>537</v>
      </c>
      <c r="G44" s="1195">
        <f>G42-B42</f>
        <v>77809</v>
      </c>
      <c r="H44" s="837">
        <f>H42-B42</f>
        <v>-116688.25</v>
      </c>
      <c r="I44" s="837" t="s">
        <v>652</v>
      </c>
      <c r="J44" s="837" t="s">
        <v>537</v>
      </c>
      <c r="K44" s="1130">
        <f>E44+E31</f>
        <v>14950</v>
      </c>
    </row>
    <row r="45" spans="1:18" ht="13.5" thickBot="1" x14ac:dyDescent="0.25">
      <c r="A45" s="723" t="s">
        <v>548</v>
      </c>
      <c r="B45" s="740" t="s">
        <v>34</v>
      </c>
      <c r="C45" s="838">
        <f>C44/$B$42</f>
        <v>8.2608264777135995E-2</v>
      </c>
      <c r="D45" s="842">
        <f>D44/$B$42</f>
        <v>-6.771093502037602E-2</v>
      </c>
      <c r="E45" s="838">
        <f>E44/$B$42</f>
        <v>0.16452817756802832</v>
      </c>
      <c r="F45" s="741" t="s">
        <v>537</v>
      </c>
      <c r="G45" s="1196">
        <f>G44/B42</f>
        <v>5.2101147565791851E-2</v>
      </c>
      <c r="H45" s="838" t="s">
        <v>652</v>
      </c>
      <c r="I45" s="838" t="s">
        <v>652</v>
      </c>
      <c r="J45" s="838" t="s">
        <v>537</v>
      </c>
      <c r="K45" s="1009"/>
    </row>
    <row r="46" spans="1:18" ht="21.75" customHeight="1" x14ac:dyDescent="0.2">
      <c r="A46" s="737"/>
      <c r="B46" s="495"/>
      <c r="C46" s="738"/>
      <c r="D46" s="872" t="s">
        <v>662</v>
      </c>
      <c r="E46" s="738"/>
      <c r="F46" s="738"/>
      <c r="G46" s="872" t="s">
        <v>662</v>
      </c>
      <c r="H46" s="738"/>
      <c r="I46" s="1010"/>
      <c r="J46" s="1125" t="s">
        <v>662</v>
      </c>
      <c r="K46" s="1009"/>
    </row>
    <row r="47" spans="1:18" ht="38.25" customHeight="1" x14ac:dyDescent="0.2">
      <c r="A47" s="1497" t="s">
        <v>549</v>
      </c>
      <c r="B47" s="1497"/>
      <c r="C47" s="1497"/>
      <c r="D47" s="1497"/>
      <c r="E47" s="737"/>
      <c r="F47" s="737"/>
      <c r="I47" s="1009"/>
      <c r="J47" s="1009"/>
      <c r="K47" s="1009"/>
    </row>
    <row r="48" spans="1:18" x14ac:dyDescent="0.2">
      <c r="D48" s="286"/>
      <c r="E48" s="1009"/>
      <c r="F48" s="1009"/>
      <c r="I48" s="1009"/>
      <c r="J48" s="1009"/>
      <c r="K48" s="1009"/>
    </row>
    <row r="49" spans="1:11" ht="13.5" thickBot="1" x14ac:dyDescent="0.25">
      <c r="A49" s="688" t="s">
        <v>544</v>
      </c>
      <c r="B49" s="689">
        <f>B42</f>
        <v>1493422</v>
      </c>
      <c r="C49" s="689">
        <f>E42</f>
        <v>1739132</v>
      </c>
      <c r="D49" s="689">
        <f t="shared" ref="D49" si="1">D42</f>
        <v>1392301</v>
      </c>
      <c r="E49" s="1011">
        <f>C42</f>
        <v>1616791</v>
      </c>
      <c r="F49" s="1011" t="str">
        <f>F42</f>
        <v>Not Provided</v>
      </c>
      <c r="G49" s="689">
        <f>G42</f>
        <v>1571231</v>
      </c>
      <c r="H49" s="689">
        <f>H42</f>
        <v>1376733.75</v>
      </c>
      <c r="I49" s="1011" t="str">
        <f>I42</f>
        <v>Incomplete</v>
      </c>
      <c r="J49" s="1011" t="str">
        <f>J42</f>
        <v>Not Provided</v>
      </c>
      <c r="K49" s="1009"/>
    </row>
    <row r="50" spans="1:11" x14ac:dyDescent="0.2">
      <c r="B50">
        <v>17244</v>
      </c>
      <c r="C50">
        <v>17244</v>
      </c>
      <c r="D50">
        <v>17244</v>
      </c>
      <c r="E50" s="1009">
        <v>17244</v>
      </c>
      <c r="F50" s="1009">
        <v>17244</v>
      </c>
      <c r="G50">
        <v>17244</v>
      </c>
      <c r="H50">
        <v>17244</v>
      </c>
      <c r="I50" s="1009">
        <v>17244</v>
      </c>
      <c r="J50" s="1009">
        <v>17244</v>
      </c>
      <c r="K50" s="1009"/>
    </row>
    <row r="51" spans="1:11" x14ac:dyDescent="0.2">
      <c r="B51" s="36">
        <f t="shared" ref="B51:J51" si="2">B49/B50</f>
        <v>86.605311992577128</v>
      </c>
      <c r="C51" s="36">
        <f>C49/C50</f>
        <v>100.85432614242634</v>
      </c>
      <c r="D51" s="36">
        <f t="shared" si="2"/>
        <v>80.741185339828348</v>
      </c>
      <c r="E51" s="1012">
        <f t="shared" si="2"/>
        <v>93.759626536766405</v>
      </c>
      <c r="F51" s="1012" t="e">
        <f t="shared" si="2"/>
        <v>#VALUE!</v>
      </c>
      <c r="G51" s="36">
        <f t="shared" si="2"/>
        <v>91.117548132683837</v>
      </c>
      <c r="H51" s="36">
        <f t="shared" si="2"/>
        <v>79.838422059846906</v>
      </c>
      <c r="I51" s="1012" t="e">
        <f t="shared" si="2"/>
        <v>#VALUE!</v>
      </c>
      <c r="J51" s="1012" t="e">
        <f t="shared" si="2"/>
        <v>#VALUE!</v>
      </c>
      <c r="K51" s="1009"/>
    </row>
    <row r="52" spans="1:11" x14ac:dyDescent="0.2">
      <c r="A52" s="649" t="s">
        <v>472</v>
      </c>
      <c r="C52">
        <v>80</v>
      </c>
      <c r="D52">
        <v>100</v>
      </c>
      <c r="E52" s="1009"/>
      <c r="F52" s="1009"/>
      <c r="I52" s="1009"/>
      <c r="J52" s="1009"/>
      <c r="K52" s="1009"/>
    </row>
    <row r="53" spans="1:11" x14ac:dyDescent="0.2">
      <c r="A53" s="649" t="s">
        <v>473</v>
      </c>
      <c r="B53">
        <v>20.59</v>
      </c>
      <c r="C53">
        <v>93.74</v>
      </c>
      <c r="D53" s="821">
        <f>D27</f>
        <v>35</v>
      </c>
      <c r="E53" s="1009"/>
      <c r="F53" s="1009"/>
      <c r="I53" s="1009"/>
      <c r="J53" s="1009"/>
      <c r="K53" s="1009"/>
    </row>
    <row r="54" spans="1:11" x14ac:dyDescent="0.2">
      <c r="A54" s="649" t="s">
        <v>474</v>
      </c>
      <c r="B54">
        <v>80.819999999999993</v>
      </c>
      <c r="C54">
        <v>178.5</v>
      </c>
      <c r="D54" s="821">
        <f>D28</f>
        <v>95</v>
      </c>
      <c r="E54" s="1009"/>
      <c r="F54" s="1009"/>
      <c r="I54" s="1009"/>
      <c r="J54" s="1009"/>
      <c r="K54" s="1009"/>
    </row>
    <row r="55" spans="1:11" x14ac:dyDescent="0.2">
      <c r="E55" s="1009"/>
      <c r="F55" s="1009"/>
      <c r="I55" s="1009"/>
      <c r="J55" s="1009"/>
      <c r="K55" s="1009"/>
    </row>
    <row r="56" spans="1:11" x14ac:dyDescent="0.2">
      <c r="A56" s="649" t="s">
        <v>631</v>
      </c>
      <c r="E56" s="1009"/>
      <c r="F56" s="1009"/>
      <c r="I56" s="1009"/>
      <c r="J56" s="1009"/>
      <c r="K56" s="1009"/>
    </row>
    <row r="57" spans="1:11" x14ac:dyDescent="0.2">
      <c r="A57" s="649" t="s">
        <v>632</v>
      </c>
      <c r="E57" s="1009"/>
      <c r="F57" s="1009"/>
      <c r="I57" s="1009"/>
      <c r="J57" s="1009"/>
      <c r="K57" s="1009"/>
    </row>
    <row r="58" spans="1:11" x14ac:dyDescent="0.2">
      <c r="A58" s="649" t="s">
        <v>633</v>
      </c>
      <c r="C58">
        <v>15.8</v>
      </c>
      <c r="E58" s="1009"/>
      <c r="F58" s="1009"/>
      <c r="I58" s="1009"/>
      <c r="J58" s="1009"/>
      <c r="K58" s="1009"/>
    </row>
    <row r="59" spans="1:11" x14ac:dyDescent="0.2">
      <c r="B59" s="286"/>
      <c r="C59" s="286"/>
      <c r="D59" s="286"/>
      <c r="E59" s="1009"/>
      <c r="F59" s="1009"/>
      <c r="I59" s="1009"/>
      <c r="J59" s="1009"/>
      <c r="K59" s="1009"/>
    </row>
    <row r="60" spans="1:11" x14ac:dyDescent="0.2">
      <c r="B60" s="286"/>
      <c r="C60" s="286"/>
      <c r="D60" s="286"/>
      <c r="E60" s="1009"/>
      <c r="F60" s="1009"/>
      <c r="I60" s="1009"/>
      <c r="J60" s="1009"/>
      <c r="K60" s="1009"/>
    </row>
    <row r="61" spans="1:11" x14ac:dyDescent="0.2">
      <c r="B61" s="286"/>
      <c r="C61" s="286"/>
      <c r="D61" s="286"/>
      <c r="E61" s="1009"/>
      <c r="F61" s="1009"/>
      <c r="I61" s="1009"/>
      <c r="J61" s="1009"/>
      <c r="K61" s="1009"/>
    </row>
    <row r="62" spans="1:11" x14ac:dyDescent="0.2">
      <c r="E62" s="1009"/>
      <c r="F62" s="1009"/>
      <c r="I62" s="1009"/>
      <c r="J62" s="1009"/>
      <c r="K62" s="1009"/>
    </row>
    <row r="63" spans="1:11" x14ac:dyDescent="0.2">
      <c r="A63" s="649"/>
      <c r="D63" s="650"/>
      <c r="E63" s="1009"/>
      <c r="F63" s="1009"/>
      <c r="I63" s="1009"/>
      <c r="J63" s="1009"/>
      <c r="K63" s="1009"/>
    </row>
    <row r="64" spans="1:11" x14ac:dyDescent="0.2">
      <c r="E64" s="1009"/>
      <c r="F64" s="1009"/>
      <c r="I64" s="1009"/>
      <c r="J64" s="1009"/>
      <c r="K64" s="1009"/>
    </row>
    <row r="65" spans="1:12" x14ac:dyDescent="0.2">
      <c r="E65" s="1009"/>
      <c r="F65" s="1009"/>
      <c r="I65" s="1009"/>
      <c r="J65" s="1009"/>
      <c r="K65" s="1009"/>
    </row>
    <row r="66" spans="1:12" x14ac:dyDescent="0.2">
      <c r="E66" s="1009"/>
      <c r="F66" s="1009"/>
      <c r="I66" s="1009"/>
      <c r="J66" s="1009"/>
      <c r="K66" s="1009"/>
    </row>
    <row r="67" spans="1:12" x14ac:dyDescent="0.2">
      <c r="E67" s="1009"/>
      <c r="F67" s="1009"/>
      <c r="I67" s="1009"/>
      <c r="J67" s="1009"/>
      <c r="K67" s="1009"/>
    </row>
    <row r="68" spans="1:12" x14ac:dyDescent="0.2">
      <c r="A68" s="78" t="s">
        <v>512</v>
      </c>
      <c r="B68" s="286">
        <v>2562053</v>
      </c>
      <c r="C68" s="286"/>
      <c r="D68" s="286">
        <v>2541167</v>
      </c>
      <c r="E68" s="286">
        <v>2482430</v>
      </c>
      <c r="F68" s="286">
        <v>2482430</v>
      </c>
      <c r="G68" s="286">
        <v>2482430</v>
      </c>
      <c r="H68" s="286">
        <v>2482430</v>
      </c>
      <c r="I68" s="286">
        <v>2482430</v>
      </c>
      <c r="J68" s="286">
        <v>2482430</v>
      </c>
    </row>
    <row r="70" spans="1:12" x14ac:dyDescent="0.2">
      <c r="E70">
        <f t="shared" ref="E70:J70" si="3">E71+E72</f>
        <v>24412</v>
      </c>
      <c r="F70">
        <f t="shared" si="3"/>
        <v>24412</v>
      </c>
      <c r="G70">
        <f t="shared" si="3"/>
        <v>24412</v>
      </c>
      <c r="H70">
        <f t="shared" ref="H70" si="4">H71+H72</f>
        <v>24412</v>
      </c>
      <c r="I70">
        <f t="shared" si="3"/>
        <v>24412</v>
      </c>
      <c r="J70">
        <f t="shared" si="3"/>
        <v>24412</v>
      </c>
    </row>
    <row r="71" spans="1:12" x14ac:dyDescent="0.2">
      <c r="E71">
        <f t="shared" ref="E71:J71" si="5">3271+292+25+150</f>
        <v>3738</v>
      </c>
      <c r="F71">
        <f t="shared" si="5"/>
        <v>3738</v>
      </c>
      <c r="G71">
        <f t="shared" si="5"/>
        <v>3738</v>
      </c>
      <c r="H71">
        <f t="shared" si="5"/>
        <v>3738</v>
      </c>
      <c r="I71">
        <f t="shared" si="5"/>
        <v>3738</v>
      </c>
      <c r="J71">
        <f t="shared" si="5"/>
        <v>3738</v>
      </c>
    </row>
    <row r="72" spans="1:12" x14ac:dyDescent="0.2">
      <c r="E72" s="78">
        <f t="shared" ref="E72:J72" si="6">19151+1402+100+21</f>
        <v>20674</v>
      </c>
      <c r="F72" s="78">
        <f t="shared" si="6"/>
        <v>20674</v>
      </c>
      <c r="G72" s="78">
        <f t="shared" si="6"/>
        <v>20674</v>
      </c>
      <c r="H72" s="78">
        <f t="shared" si="6"/>
        <v>20674</v>
      </c>
      <c r="I72" s="78">
        <f t="shared" si="6"/>
        <v>20674</v>
      </c>
      <c r="J72" s="78">
        <f t="shared" si="6"/>
        <v>20674</v>
      </c>
    </row>
    <row r="73" spans="1:12" ht="13.5" thickBot="1" x14ac:dyDescent="0.25"/>
    <row r="74" spans="1:12" x14ac:dyDescent="0.2">
      <c r="A74" s="1161"/>
      <c r="B74" s="321"/>
      <c r="C74" s="321"/>
      <c r="D74" s="321"/>
      <c r="E74" s="1162"/>
      <c r="F74" s="1162"/>
      <c r="G74" s="321"/>
      <c r="H74" s="321"/>
      <c r="I74" s="1162"/>
      <c r="J74" s="1162"/>
      <c r="K74" s="1162"/>
      <c r="L74" s="1163"/>
    </row>
    <row r="75" spans="1:12" x14ac:dyDescent="0.2">
      <c r="A75" s="522"/>
      <c r="E75" s="1009"/>
      <c r="F75" s="1009"/>
      <c r="I75" s="1009"/>
      <c r="J75" s="1009"/>
      <c r="K75" s="1009"/>
      <c r="L75" s="1164"/>
    </row>
    <row r="76" spans="1:12" x14ac:dyDescent="0.2">
      <c r="A76" s="522"/>
      <c r="E76" s="1009"/>
      <c r="F76" s="1009"/>
      <c r="I76" s="1009"/>
      <c r="J76" s="1009"/>
      <c r="K76" s="1009"/>
      <c r="L76" s="1164"/>
    </row>
    <row r="77" spans="1:12" x14ac:dyDescent="0.2">
      <c r="A77" s="522"/>
      <c r="E77" s="1009"/>
      <c r="F77" s="1009"/>
      <c r="I77" s="1009"/>
      <c r="J77" s="1009"/>
      <c r="K77" s="1009"/>
      <c r="L77" s="1164"/>
    </row>
    <row r="78" spans="1:12" x14ac:dyDescent="0.2">
      <c r="A78" s="522"/>
      <c r="E78" s="1009"/>
      <c r="F78" s="1009"/>
      <c r="I78" s="1009"/>
      <c r="J78" s="1009"/>
      <c r="K78" s="1009"/>
      <c r="L78" s="1164"/>
    </row>
    <row r="79" spans="1:12" x14ac:dyDescent="0.2">
      <c r="A79" s="522"/>
      <c r="E79" s="1009"/>
      <c r="F79" s="1009"/>
      <c r="I79" s="1009"/>
      <c r="J79" s="1009"/>
      <c r="K79" s="1009"/>
      <c r="L79" s="1164"/>
    </row>
    <row r="80" spans="1:12" x14ac:dyDescent="0.2">
      <c r="A80" s="522"/>
      <c r="E80" s="1009"/>
      <c r="F80" s="1009"/>
      <c r="I80" s="1151"/>
      <c r="J80" s="1009"/>
      <c r="K80" s="1009"/>
      <c r="L80" s="1164"/>
    </row>
    <row r="81" spans="1:12" x14ac:dyDescent="0.2">
      <c r="A81" s="522"/>
      <c r="E81" s="1009"/>
      <c r="F81" s="1009"/>
      <c r="I81" s="1151"/>
      <c r="J81" s="1009"/>
      <c r="K81" s="1009"/>
      <c r="L81" s="1164"/>
    </row>
    <row r="82" spans="1:12" x14ac:dyDescent="0.2">
      <c r="A82" s="522"/>
      <c r="E82" s="1009"/>
      <c r="F82" s="1009"/>
      <c r="I82" s="1151"/>
      <c r="J82" s="1009"/>
      <c r="K82" s="1009"/>
      <c r="L82" s="1164"/>
    </row>
    <row r="83" spans="1:12" x14ac:dyDescent="0.2">
      <c r="A83" s="522"/>
      <c r="E83" s="1009"/>
      <c r="F83" s="1009"/>
      <c r="I83" s="1151"/>
      <c r="J83" s="1009"/>
      <c r="K83" s="1009"/>
      <c r="L83" s="1164"/>
    </row>
    <row r="84" spans="1:12" x14ac:dyDescent="0.2">
      <c r="A84" s="522"/>
      <c r="E84" s="1009"/>
      <c r="F84" s="1009"/>
      <c r="I84" s="1151"/>
      <c r="J84" s="1009"/>
      <c r="K84" s="1009"/>
      <c r="L84" s="1164"/>
    </row>
    <row r="85" spans="1:12" x14ac:dyDescent="0.2">
      <c r="A85" s="522"/>
      <c r="E85" s="1009"/>
      <c r="F85" s="1009"/>
      <c r="I85" s="1151"/>
      <c r="J85" s="1009"/>
      <c r="K85" s="1009"/>
      <c r="L85" s="1164"/>
    </row>
    <row r="86" spans="1:12" x14ac:dyDescent="0.2">
      <c r="A86" s="522"/>
      <c r="E86" s="1009"/>
      <c r="F86" s="1009"/>
      <c r="I86" s="1151"/>
      <c r="J86" s="1009"/>
      <c r="K86" s="1009"/>
      <c r="L86" s="1164"/>
    </row>
    <row r="87" spans="1:12" x14ac:dyDescent="0.2">
      <c r="A87" s="522"/>
      <c r="E87" s="1009"/>
      <c r="F87" s="1009"/>
      <c r="I87" s="1151"/>
      <c r="J87" s="1009"/>
      <c r="K87" s="1009"/>
      <c r="L87" s="1164"/>
    </row>
    <row r="88" spans="1:12" x14ac:dyDescent="0.2">
      <c r="A88" s="1165"/>
      <c r="B88" s="1157"/>
      <c r="C88" s="1157"/>
      <c r="D88" s="1157"/>
      <c r="E88" s="1156"/>
      <c r="F88" s="1156"/>
      <c r="G88" s="1157"/>
      <c r="H88" s="1157"/>
      <c r="I88" s="1158"/>
      <c r="J88" s="1156"/>
      <c r="K88" s="1156"/>
      <c r="L88" s="1166"/>
    </row>
    <row r="89" spans="1:12" x14ac:dyDescent="0.2">
      <c r="A89" s="522"/>
      <c r="E89" s="1009"/>
      <c r="F89" s="1009"/>
      <c r="I89" s="1151"/>
      <c r="J89" s="1009"/>
      <c r="K89" s="1009"/>
      <c r="L89" s="1164"/>
    </row>
    <row r="90" spans="1:12" x14ac:dyDescent="0.2">
      <c r="A90" s="522"/>
      <c r="E90" s="1009"/>
      <c r="F90" s="1009"/>
      <c r="I90" s="1151"/>
      <c r="J90" s="1009"/>
      <c r="K90" s="1009"/>
      <c r="L90" s="1164"/>
    </row>
    <row r="91" spans="1:12" ht="13.5" thickBot="1" x14ac:dyDescent="0.25">
      <c r="A91" s="524"/>
      <c r="B91" s="213"/>
      <c r="C91" s="213"/>
      <c r="D91" s="213"/>
      <c r="E91" s="1167"/>
      <c r="F91" s="1167"/>
      <c r="G91" s="213"/>
      <c r="H91" s="213"/>
      <c r="I91" s="1168"/>
      <c r="J91" s="1167"/>
      <c r="K91" s="1167"/>
      <c r="L91" s="1169"/>
    </row>
  </sheetData>
  <mergeCells count="4">
    <mergeCell ref="A47:D47"/>
    <mergeCell ref="F27:F29"/>
    <mergeCell ref="B27:B29"/>
    <mergeCell ref="C27:C29"/>
  </mergeCells>
  <printOptions horizontalCentered="1"/>
  <pageMargins left="0.7" right="0.7" top="1.1499999999999999" bottom="0.12" header="0.74" footer="0.17"/>
  <pageSetup scale="85" orientation="landscape" r:id="rId1"/>
  <headerFooter>
    <oddHeader>&amp;C&amp;"-,Bold"&amp;14CITY OF ALLEN
PHARMACY BENEFIT MANAGER ANALYSIS</oddHeader>
  </headerFooter>
  <colBreaks count="1" manualBreakCount="1">
    <brk id="6" max="46" man="1"/>
  </colBreak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H46"/>
  <sheetViews>
    <sheetView view="pageBreakPreview" workbookViewId="0">
      <pane xSplit="1" topLeftCell="X1" activePane="topRight" state="frozen"/>
      <selection pane="topRight" activeCell="V48" sqref="V48"/>
    </sheetView>
  </sheetViews>
  <sheetFormatPr defaultColWidth="8.85546875" defaultRowHeight="12.75" x14ac:dyDescent="0.2"/>
  <cols>
    <col min="1" max="1" width="42.85546875" customWidth="1"/>
    <col min="2" max="2" width="3.42578125" customWidth="1"/>
    <col min="3" max="3" width="17.28515625" customWidth="1"/>
    <col min="4" max="4" width="17.140625" customWidth="1"/>
    <col min="5" max="5" width="21.7109375" customWidth="1"/>
    <col min="6" max="6" width="17.140625" customWidth="1"/>
    <col min="7" max="7" width="13.28515625" bestFit="1" customWidth="1"/>
    <col min="8" max="8" width="13.42578125" bestFit="1" customWidth="1"/>
    <col min="9" max="9" width="20.42578125" bestFit="1" customWidth="1"/>
    <col min="10" max="10" width="16.7109375" customWidth="1"/>
    <col min="11" max="11" width="42.85546875" customWidth="1"/>
    <col min="12" max="12" width="3.42578125" customWidth="1"/>
    <col min="13" max="13" width="17.28515625" customWidth="1"/>
    <col min="14" max="14" width="17.140625" customWidth="1"/>
    <col min="15" max="15" width="21.7109375" customWidth="1"/>
    <col min="16" max="16" width="17.140625" customWidth="1"/>
    <col min="17" max="22" width="15.28515625" customWidth="1"/>
    <col min="23" max="23" width="42.85546875" customWidth="1"/>
    <col min="24" max="24" width="3.42578125" customWidth="1"/>
    <col min="25" max="25" width="17.28515625" customWidth="1"/>
    <col min="26" max="26" width="17.140625" customWidth="1"/>
    <col min="27" max="27" width="21.7109375" customWidth="1"/>
    <col min="28" max="29" width="17.140625" customWidth="1"/>
    <col min="30" max="30" width="13.42578125" bestFit="1" customWidth="1"/>
    <col min="31" max="31" width="14.28515625" bestFit="1" customWidth="1"/>
    <col min="32" max="32" width="14.28515625" customWidth="1"/>
    <col min="33" max="33" width="14.28515625" bestFit="1" customWidth="1"/>
    <col min="34" max="34" width="14.28515625" customWidth="1"/>
  </cols>
  <sheetData>
    <row r="1" spans="1:34" ht="15.75" customHeight="1" x14ac:dyDescent="0.2">
      <c r="A1" s="86" t="s">
        <v>19</v>
      </c>
      <c r="B1" s="87"/>
      <c r="C1" s="1508" t="s">
        <v>89</v>
      </c>
      <c r="D1" s="1508"/>
      <c r="E1" s="1508"/>
      <c r="F1" s="1509"/>
      <c r="G1" s="1504" t="s">
        <v>130</v>
      </c>
      <c r="H1" s="1505"/>
      <c r="I1" s="1505"/>
      <c r="J1" s="1515"/>
      <c r="K1" s="86" t="s">
        <v>19</v>
      </c>
      <c r="L1" s="87"/>
      <c r="M1" s="1508" t="s">
        <v>89</v>
      </c>
      <c r="N1" s="1508"/>
      <c r="O1" s="1508"/>
      <c r="P1" s="1508"/>
      <c r="Q1" s="1504" t="s">
        <v>135</v>
      </c>
      <c r="R1" s="1505"/>
      <c r="S1" s="1505"/>
      <c r="T1" s="1505"/>
      <c r="U1" s="1506"/>
      <c r="V1" s="1507"/>
      <c r="W1" s="86" t="s">
        <v>19</v>
      </c>
      <c r="X1" s="87"/>
      <c r="Y1" s="1531" t="s">
        <v>89</v>
      </c>
      <c r="Z1" s="1508"/>
      <c r="AA1" s="1508"/>
      <c r="AB1" s="1532"/>
      <c r="AC1" s="1542" t="s">
        <v>341</v>
      </c>
      <c r="AD1" s="1543"/>
      <c r="AE1" s="1543"/>
      <c r="AF1" s="1543"/>
      <c r="AG1" s="1543"/>
      <c r="AH1" s="1544"/>
    </row>
    <row r="2" spans="1:34" ht="16.5" customHeight="1" x14ac:dyDescent="0.2">
      <c r="A2" s="88" t="s">
        <v>20</v>
      </c>
      <c r="B2" s="54"/>
      <c r="C2" s="1512" t="s">
        <v>123</v>
      </c>
      <c r="D2" s="1512"/>
      <c r="E2" s="258" t="s">
        <v>297</v>
      </c>
      <c r="F2" s="501" t="s">
        <v>298</v>
      </c>
      <c r="G2" s="1516" t="s">
        <v>123</v>
      </c>
      <c r="H2" s="1517"/>
      <c r="I2" s="258" t="s">
        <v>297</v>
      </c>
      <c r="J2" s="546" t="s">
        <v>298</v>
      </c>
      <c r="K2" s="88" t="s">
        <v>20</v>
      </c>
      <c r="L2" s="54"/>
      <c r="M2" s="1512" t="s">
        <v>123</v>
      </c>
      <c r="N2" s="1512"/>
      <c r="O2" s="258" t="s">
        <v>297</v>
      </c>
      <c r="P2" s="258" t="s">
        <v>298</v>
      </c>
      <c r="Q2" s="1516" t="s">
        <v>342</v>
      </c>
      <c r="R2" s="1517"/>
      <c r="S2" s="258" t="s">
        <v>441</v>
      </c>
      <c r="T2" s="258" t="s">
        <v>319</v>
      </c>
      <c r="U2" s="258" t="s">
        <v>442</v>
      </c>
      <c r="V2" s="546" t="s">
        <v>443</v>
      </c>
      <c r="W2" s="88" t="s">
        <v>20</v>
      </c>
      <c r="X2" s="54"/>
      <c r="Y2" s="1534" t="s">
        <v>123</v>
      </c>
      <c r="Z2" s="1512"/>
      <c r="AA2" s="258" t="s">
        <v>297</v>
      </c>
      <c r="AB2" s="546" t="s">
        <v>298</v>
      </c>
      <c r="AC2" s="1516" t="s">
        <v>123</v>
      </c>
      <c r="AD2" s="1517"/>
      <c r="AE2" s="1529" t="s">
        <v>352</v>
      </c>
      <c r="AF2" s="1517"/>
      <c r="AG2" s="1545" t="s">
        <v>447</v>
      </c>
      <c r="AH2" s="1546"/>
    </row>
    <row r="3" spans="1:34" x14ac:dyDescent="0.2">
      <c r="A3" s="89"/>
      <c r="B3" s="55"/>
      <c r="C3" s="38" t="s">
        <v>30</v>
      </c>
      <c r="D3" s="38" t="s">
        <v>31</v>
      </c>
      <c r="E3" s="38" t="s">
        <v>96</v>
      </c>
      <c r="F3" s="111" t="s">
        <v>96</v>
      </c>
      <c r="G3" s="266" t="s">
        <v>30</v>
      </c>
      <c r="H3" s="38" t="s">
        <v>31</v>
      </c>
      <c r="I3" s="38" t="s">
        <v>96</v>
      </c>
      <c r="J3" s="547" t="s">
        <v>96</v>
      </c>
      <c r="K3" s="89"/>
      <c r="L3" s="55"/>
      <c r="M3" s="38" t="s">
        <v>30</v>
      </c>
      <c r="N3" s="38" t="s">
        <v>31</v>
      </c>
      <c r="O3" s="38" t="s">
        <v>96</v>
      </c>
      <c r="P3" s="38" t="s">
        <v>96</v>
      </c>
      <c r="Q3" s="266" t="s">
        <v>30</v>
      </c>
      <c r="R3" s="38" t="s">
        <v>31</v>
      </c>
      <c r="S3" s="111" t="s">
        <v>96</v>
      </c>
      <c r="T3" s="38" t="s">
        <v>96</v>
      </c>
      <c r="U3" s="111" t="s">
        <v>96</v>
      </c>
      <c r="V3" s="547" t="s">
        <v>96</v>
      </c>
      <c r="W3" s="89"/>
      <c r="X3" s="57"/>
      <c r="Y3" s="266" t="s">
        <v>30</v>
      </c>
      <c r="Z3" s="38" t="s">
        <v>31</v>
      </c>
      <c r="AA3" s="38" t="s">
        <v>96</v>
      </c>
      <c r="AB3" s="547" t="s">
        <v>96</v>
      </c>
      <c r="AC3" s="266" t="s">
        <v>30</v>
      </c>
      <c r="AD3" s="38" t="s">
        <v>31</v>
      </c>
      <c r="AE3" s="38" t="s">
        <v>30</v>
      </c>
      <c r="AF3" s="38" t="s">
        <v>31</v>
      </c>
      <c r="AG3" s="38" t="s">
        <v>96</v>
      </c>
      <c r="AH3" s="547" t="s">
        <v>31</v>
      </c>
    </row>
    <row r="4" spans="1:34" x14ac:dyDescent="0.2">
      <c r="A4" s="90" t="s">
        <v>29</v>
      </c>
      <c r="B4" s="56"/>
      <c r="C4" s="28" t="s">
        <v>113</v>
      </c>
      <c r="D4" s="28" t="s">
        <v>34</v>
      </c>
      <c r="E4" s="28" t="s">
        <v>444</v>
      </c>
      <c r="F4" s="76" t="s">
        <v>444</v>
      </c>
      <c r="G4" s="267" t="s">
        <v>131</v>
      </c>
      <c r="H4" s="28" t="s">
        <v>34</v>
      </c>
      <c r="I4" s="28" t="s">
        <v>444</v>
      </c>
      <c r="J4" s="548" t="s">
        <v>444</v>
      </c>
      <c r="K4" s="90" t="s">
        <v>29</v>
      </c>
      <c r="L4" s="56"/>
      <c r="M4" s="28" t="s">
        <v>113</v>
      </c>
      <c r="N4" s="28" t="s">
        <v>34</v>
      </c>
      <c r="O4" s="28" t="s">
        <v>444</v>
      </c>
      <c r="P4" s="28" t="s">
        <v>444</v>
      </c>
      <c r="Q4" s="267" t="s">
        <v>136</v>
      </c>
      <c r="R4" s="28" t="s">
        <v>34</v>
      </c>
      <c r="S4" s="76" t="s">
        <v>444</v>
      </c>
      <c r="T4" s="28" t="s">
        <v>444</v>
      </c>
      <c r="U4" s="76" t="s">
        <v>445</v>
      </c>
      <c r="V4" s="548" t="s">
        <v>446</v>
      </c>
      <c r="W4" s="90" t="s">
        <v>29</v>
      </c>
      <c r="X4" s="73"/>
      <c r="Y4" s="267" t="s">
        <v>113</v>
      </c>
      <c r="Z4" s="28" t="s">
        <v>34</v>
      </c>
      <c r="AA4" s="28" t="s">
        <v>90</v>
      </c>
      <c r="AB4" s="548" t="s">
        <v>90</v>
      </c>
      <c r="AC4" s="267" t="s">
        <v>131</v>
      </c>
      <c r="AD4" s="28" t="s">
        <v>34</v>
      </c>
      <c r="AE4" s="28" t="s">
        <v>347</v>
      </c>
      <c r="AF4" s="28" t="s">
        <v>347</v>
      </c>
      <c r="AG4" s="28" t="s">
        <v>347</v>
      </c>
      <c r="AH4" s="567" t="s">
        <v>347</v>
      </c>
    </row>
    <row r="5" spans="1:34" ht="15.75" customHeight="1" x14ac:dyDescent="0.2">
      <c r="A5" s="89" t="s">
        <v>21</v>
      </c>
      <c r="B5" s="57"/>
      <c r="C5" s="1513" t="s">
        <v>77</v>
      </c>
      <c r="D5" s="1513"/>
      <c r="E5" s="31" t="s">
        <v>77</v>
      </c>
      <c r="F5" s="505" t="s">
        <v>77</v>
      </c>
      <c r="G5" s="1520" t="s">
        <v>77</v>
      </c>
      <c r="H5" s="1521"/>
      <c r="I5" s="31" t="s">
        <v>77</v>
      </c>
      <c r="J5" s="549" t="s">
        <v>77</v>
      </c>
      <c r="K5" s="89" t="s">
        <v>21</v>
      </c>
      <c r="L5" s="57"/>
      <c r="M5" s="1513" t="s">
        <v>77</v>
      </c>
      <c r="N5" s="1513"/>
      <c r="O5" s="31" t="s">
        <v>77</v>
      </c>
      <c r="P5" s="483" t="s">
        <v>77</v>
      </c>
      <c r="Q5" s="1520" t="s">
        <v>77</v>
      </c>
      <c r="R5" s="1521"/>
      <c r="S5" s="502" t="s">
        <v>77</v>
      </c>
      <c r="T5" s="502" t="s">
        <v>77</v>
      </c>
      <c r="U5" s="502" t="s">
        <v>77</v>
      </c>
      <c r="V5" s="567" t="s">
        <v>77</v>
      </c>
      <c r="W5" s="89" t="s">
        <v>21</v>
      </c>
      <c r="X5" s="57"/>
      <c r="Y5" s="1535" t="s">
        <v>77</v>
      </c>
      <c r="Z5" s="1513"/>
      <c r="AA5" s="31" t="s">
        <v>77</v>
      </c>
      <c r="AB5" s="549" t="s">
        <v>77</v>
      </c>
      <c r="AC5" s="1520" t="s">
        <v>77</v>
      </c>
      <c r="AD5" s="1521"/>
      <c r="AE5" s="1530" t="s">
        <v>77</v>
      </c>
      <c r="AF5" s="1521"/>
      <c r="AG5" s="1548" t="s">
        <v>77</v>
      </c>
      <c r="AH5" s="1549"/>
    </row>
    <row r="6" spans="1:34" x14ac:dyDescent="0.2">
      <c r="A6" s="91" t="s">
        <v>44</v>
      </c>
      <c r="B6" s="58"/>
      <c r="C6" s="26">
        <v>2500</v>
      </c>
      <c r="D6" s="26">
        <v>5000</v>
      </c>
      <c r="E6" s="26" t="s">
        <v>34</v>
      </c>
      <c r="F6" s="503" t="s">
        <v>34</v>
      </c>
      <c r="G6" s="550">
        <v>2500</v>
      </c>
      <c r="H6" s="353">
        <v>5000</v>
      </c>
      <c r="I6" s="26" t="s">
        <v>34</v>
      </c>
      <c r="J6" s="551" t="s">
        <v>34</v>
      </c>
      <c r="K6" s="91" t="s">
        <v>44</v>
      </c>
      <c r="L6" s="58"/>
      <c r="M6" s="26">
        <v>2500</v>
      </c>
      <c r="N6" s="26">
        <v>5000</v>
      </c>
      <c r="O6" s="26" t="s">
        <v>34</v>
      </c>
      <c r="P6" s="26" t="s">
        <v>34</v>
      </c>
      <c r="Q6" s="268">
        <v>2500</v>
      </c>
      <c r="R6" s="26">
        <v>5000</v>
      </c>
      <c r="S6" s="503" t="s">
        <v>34</v>
      </c>
      <c r="T6" s="26" t="s">
        <v>34</v>
      </c>
      <c r="U6" s="503" t="s">
        <v>34</v>
      </c>
      <c r="V6" s="551" t="s">
        <v>34</v>
      </c>
      <c r="W6" s="91" t="s">
        <v>44</v>
      </c>
      <c r="X6" s="245"/>
      <c r="Y6" s="268">
        <v>2500</v>
      </c>
      <c r="Z6" s="26">
        <v>5000</v>
      </c>
      <c r="AA6" s="26" t="s">
        <v>34</v>
      </c>
      <c r="AB6" s="551" t="s">
        <v>34</v>
      </c>
      <c r="AC6" s="550">
        <v>2500</v>
      </c>
      <c r="AD6" s="353">
        <v>5000</v>
      </c>
      <c r="AE6" s="26" t="s">
        <v>34</v>
      </c>
      <c r="AF6" s="26">
        <v>2000</v>
      </c>
      <c r="AG6" s="26" t="s">
        <v>34</v>
      </c>
      <c r="AH6" s="551">
        <v>3000</v>
      </c>
    </row>
    <row r="7" spans="1:34" x14ac:dyDescent="0.2">
      <c r="A7" s="92" t="s">
        <v>45</v>
      </c>
      <c r="B7" s="59"/>
      <c r="C7" s="27">
        <v>5000</v>
      </c>
      <c r="D7" s="27">
        <v>10000</v>
      </c>
      <c r="E7" s="27" t="s">
        <v>34</v>
      </c>
      <c r="F7" s="112" t="s">
        <v>34</v>
      </c>
      <c r="G7" s="552">
        <v>5000</v>
      </c>
      <c r="H7" s="354">
        <v>10000</v>
      </c>
      <c r="I7" s="27" t="s">
        <v>34</v>
      </c>
      <c r="J7" s="553" t="s">
        <v>34</v>
      </c>
      <c r="K7" s="92" t="s">
        <v>45</v>
      </c>
      <c r="L7" s="59"/>
      <c r="M7" s="27">
        <v>5000</v>
      </c>
      <c r="N7" s="27">
        <v>10000</v>
      </c>
      <c r="O7" s="27" t="s">
        <v>34</v>
      </c>
      <c r="P7" s="27" t="s">
        <v>34</v>
      </c>
      <c r="Q7" s="269">
        <v>5000</v>
      </c>
      <c r="R7" s="27">
        <v>10000</v>
      </c>
      <c r="S7" s="112" t="s">
        <v>34</v>
      </c>
      <c r="T7" s="27" t="s">
        <v>34</v>
      </c>
      <c r="U7" s="112" t="s">
        <v>34</v>
      </c>
      <c r="V7" s="553" t="s">
        <v>34</v>
      </c>
      <c r="W7" s="92" t="s">
        <v>45</v>
      </c>
      <c r="X7" s="246"/>
      <c r="Y7" s="269">
        <v>5000</v>
      </c>
      <c r="Z7" s="27">
        <v>10000</v>
      </c>
      <c r="AA7" s="27" t="s">
        <v>34</v>
      </c>
      <c r="AB7" s="553" t="s">
        <v>34</v>
      </c>
      <c r="AC7" s="552">
        <v>5000</v>
      </c>
      <c r="AD7" s="354">
        <v>10000</v>
      </c>
      <c r="AE7" s="27" t="s">
        <v>34</v>
      </c>
      <c r="AF7" s="27">
        <v>6000</v>
      </c>
      <c r="AG7" s="27" t="s">
        <v>34</v>
      </c>
      <c r="AH7" s="553">
        <v>9000</v>
      </c>
    </row>
    <row r="8" spans="1:34" x14ac:dyDescent="0.2">
      <c r="A8" s="91" t="s">
        <v>46</v>
      </c>
      <c r="B8" s="60"/>
      <c r="C8" s="28">
        <v>4000</v>
      </c>
      <c r="D8" s="28">
        <v>8000</v>
      </c>
      <c r="E8" s="28">
        <v>2000</v>
      </c>
      <c r="F8" s="76">
        <v>3000</v>
      </c>
      <c r="G8" s="554">
        <v>1500</v>
      </c>
      <c r="H8" s="355">
        <v>3000</v>
      </c>
      <c r="I8" s="28">
        <v>2000</v>
      </c>
      <c r="J8" s="548">
        <v>3000</v>
      </c>
      <c r="K8" s="91" t="s">
        <v>46</v>
      </c>
      <c r="L8" s="60"/>
      <c r="M8" s="28">
        <v>4000</v>
      </c>
      <c r="N8" s="28">
        <v>8000</v>
      </c>
      <c r="O8" s="28">
        <v>2000</v>
      </c>
      <c r="P8" s="28">
        <v>3000</v>
      </c>
      <c r="Q8" s="351">
        <v>4000</v>
      </c>
      <c r="R8" s="352">
        <v>8000</v>
      </c>
      <c r="S8" s="284">
        <v>2000</v>
      </c>
      <c r="T8" s="352">
        <v>3000</v>
      </c>
      <c r="U8" s="284">
        <v>2000</v>
      </c>
      <c r="V8" s="620">
        <v>3000</v>
      </c>
      <c r="W8" s="91" t="s">
        <v>46</v>
      </c>
      <c r="X8" s="247"/>
      <c r="Y8" s="267">
        <v>4000</v>
      </c>
      <c r="Z8" s="28">
        <v>8000</v>
      </c>
      <c r="AA8" s="28">
        <v>2000</v>
      </c>
      <c r="AB8" s="548">
        <v>3000</v>
      </c>
      <c r="AC8" s="554">
        <v>1500</v>
      </c>
      <c r="AD8" s="355">
        <v>3000</v>
      </c>
      <c r="AE8" s="28">
        <v>2000</v>
      </c>
      <c r="AF8" s="28">
        <v>4000</v>
      </c>
      <c r="AG8" s="28">
        <v>3000</v>
      </c>
      <c r="AH8" s="548">
        <v>6000</v>
      </c>
    </row>
    <row r="9" spans="1:34" x14ac:dyDescent="0.2">
      <c r="A9" s="92" t="s">
        <v>47</v>
      </c>
      <c r="B9" s="60"/>
      <c r="C9" s="28">
        <v>8000</v>
      </c>
      <c r="D9" s="28">
        <v>16000</v>
      </c>
      <c r="E9" s="28">
        <v>4000</v>
      </c>
      <c r="F9" s="76">
        <v>6000</v>
      </c>
      <c r="G9" s="554">
        <v>3000</v>
      </c>
      <c r="H9" s="355">
        <v>60000</v>
      </c>
      <c r="I9" s="28">
        <v>4000</v>
      </c>
      <c r="J9" s="548">
        <v>6000</v>
      </c>
      <c r="K9" s="92" t="s">
        <v>47</v>
      </c>
      <c r="L9" s="60"/>
      <c r="M9" s="28">
        <v>8000</v>
      </c>
      <c r="N9" s="28">
        <v>16000</v>
      </c>
      <c r="O9" s="28">
        <v>4000</v>
      </c>
      <c r="P9" s="28">
        <v>6000</v>
      </c>
      <c r="Q9" s="351">
        <v>8000</v>
      </c>
      <c r="R9" s="352">
        <v>16000</v>
      </c>
      <c r="S9" s="284">
        <v>4000</v>
      </c>
      <c r="T9" s="352">
        <v>6000</v>
      </c>
      <c r="U9" s="284">
        <v>4000</v>
      </c>
      <c r="V9" s="620">
        <v>6000</v>
      </c>
      <c r="W9" s="92" t="s">
        <v>47</v>
      </c>
      <c r="X9" s="247"/>
      <c r="Y9" s="267">
        <v>8000</v>
      </c>
      <c r="Z9" s="28">
        <v>16000</v>
      </c>
      <c r="AA9" s="28">
        <v>4000</v>
      </c>
      <c r="AB9" s="548">
        <v>6000</v>
      </c>
      <c r="AC9" s="554">
        <v>3000</v>
      </c>
      <c r="AD9" s="355">
        <v>60000</v>
      </c>
      <c r="AE9" s="28">
        <v>4000</v>
      </c>
      <c r="AF9" s="28">
        <v>12000</v>
      </c>
      <c r="AG9" s="28">
        <v>6000</v>
      </c>
      <c r="AH9" s="548">
        <v>18000</v>
      </c>
    </row>
    <row r="10" spans="1:34" x14ac:dyDescent="0.2">
      <c r="A10" s="93" t="s">
        <v>22</v>
      </c>
      <c r="B10" s="61"/>
      <c r="C10" s="29">
        <v>0.8</v>
      </c>
      <c r="D10" s="29">
        <v>0.6</v>
      </c>
      <c r="E10" s="29">
        <v>0.9</v>
      </c>
      <c r="F10" s="113">
        <v>0.8</v>
      </c>
      <c r="G10" s="555">
        <v>0.8</v>
      </c>
      <c r="H10" s="357">
        <v>0.6</v>
      </c>
      <c r="I10" s="29">
        <v>0.9</v>
      </c>
      <c r="J10" s="556">
        <v>0.8</v>
      </c>
      <c r="K10" s="93" t="s">
        <v>22</v>
      </c>
      <c r="L10" s="61"/>
      <c r="M10" s="29">
        <v>0.8</v>
      </c>
      <c r="N10" s="29">
        <v>0.6</v>
      </c>
      <c r="O10" s="29">
        <v>0.9</v>
      </c>
      <c r="P10" s="29">
        <v>0.8</v>
      </c>
      <c r="Q10" s="270">
        <v>0.8</v>
      </c>
      <c r="R10" s="29">
        <v>0.6</v>
      </c>
      <c r="S10" s="113">
        <v>0.9</v>
      </c>
      <c r="T10" s="29">
        <v>0.8</v>
      </c>
      <c r="U10" s="113">
        <v>0.9</v>
      </c>
      <c r="V10" s="556">
        <v>0.8</v>
      </c>
      <c r="W10" s="93" t="s">
        <v>22</v>
      </c>
      <c r="X10" s="248"/>
      <c r="Y10" s="270">
        <v>0.8</v>
      </c>
      <c r="Z10" s="29">
        <v>0.6</v>
      </c>
      <c r="AA10" s="29">
        <v>0.9</v>
      </c>
      <c r="AB10" s="556">
        <v>0.8</v>
      </c>
      <c r="AC10" s="555">
        <v>0.8</v>
      </c>
      <c r="AD10" s="357">
        <v>0.6</v>
      </c>
      <c r="AE10" s="29">
        <v>0.9</v>
      </c>
      <c r="AF10" s="29">
        <v>0.7</v>
      </c>
      <c r="AG10" s="29">
        <v>0.8</v>
      </c>
      <c r="AH10" s="556">
        <v>0.6</v>
      </c>
    </row>
    <row r="11" spans="1:34" x14ac:dyDescent="0.2">
      <c r="A11" s="94" t="s">
        <v>61</v>
      </c>
      <c r="B11" s="62"/>
      <c r="C11" s="42"/>
      <c r="D11" s="42"/>
      <c r="E11" s="42"/>
      <c r="F11" s="114"/>
      <c r="G11" s="557"/>
      <c r="H11" s="358"/>
      <c r="I11" s="42"/>
      <c r="J11" s="558"/>
      <c r="K11" s="94" t="s">
        <v>61</v>
      </c>
      <c r="L11" s="62"/>
      <c r="M11" s="42"/>
      <c r="N11" s="42"/>
      <c r="O11" s="42"/>
      <c r="P11" s="42"/>
      <c r="Q11" s="271"/>
      <c r="R11" s="42"/>
      <c r="S11" s="114"/>
      <c r="T11" s="42"/>
      <c r="U11" s="114"/>
      <c r="V11" s="558"/>
      <c r="W11" s="94" t="s">
        <v>61</v>
      </c>
      <c r="X11" s="249"/>
      <c r="Y11" s="271"/>
      <c r="Z11" s="42"/>
      <c r="AA11" s="42"/>
      <c r="AB11" s="558"/>
      <c r="AC11" s="557"/>
      <c r="AD11" s="358"/>
      <c r="AE11" s="42"/>
      <c r="AF11" s="42"/>
      <c r="AG11" s="42"/>
      <c r="AH11" s="558"/>
    </row>
    <row r="12" spans="1:34" x14ac:dyDescent="0.2">
      <c r="A12" s="95" t="s">
        <v>23</v>
      </c>
      <c r="B12" s="63"/>
      <c r="C12" s="30" t="s">
        <v>32</v>
      </c>
      <c r="D12" s="30" t="s">
        <v>124</v>
      </c>
      <c r="E12" s="30" t="s">
        <v>132</v>
      </c>
      <c r="F12" s="110" t="s">
        <v>132</v>
      </c>
      <c r="G12" s="559" t="s">
        <v>32</v>
      </c>
      <c r="H12" s="30" t="s">
        <v>124</v>
      </c>
      <c r="I12" s="30" t="s">
        <v>132</v>
      </c>
      <c r="J12" s="560" t="s">
        <v>132</v>
      </c>
      <c r="K12" s="95" t="s">
        <v>23</v>
      </c>
      <c r="L12" s="63"/>
      <c r="M12" s="30" t="s">
        <v>32</v>
      </c>
      <c r="N12" s="30" t="s">
        <v>124</v>
      </c>
      <c r="O12" s="30" t="s">
        <v>132</v>
      </c>
      <c r="P12" s="30" t="s">
        <v>132</v>
      </c>
      <c r="Q12" s="272" t="s">
        <v>32</v>
      </c>
      <c r="R12" s="30" t="s">
        <v>124</v>
      </c>
      <c r="S12" s="110" t="s">
        <v>132</v>
      </c>
      <c r="T12" s="30" t="s">
        <v>132</v>
      </c>
      <c r="U12" s="110" t="s">
        <v>132</v>
      </c>
      <c r="V12" s="560" t="s">
        <v>132</v>
      </c>
      <c r="W12" s="95" t="s">
        <v>23</v>
      </c>
      <c r="X12" s="250"/>
      <c r="Y12" s="272" t="s">
        <v>32</v>
      </c>
      <c r="Z12" s="30" t="s">
        <v>124</v>
      </c>
      <c r="AA12" s="30" t="s">
        <v>132</v>
      </c>
      <c r="AB12" s="560" t="s">
        <v>132</v>
      </c>
      <c r="AC12" s="559" t="s">
        <v>32</v>
      </c>
      <c r="AD12" s="30" t="s">
        <v>124</v>
      </c>
      <c r="AE12" s="30" t="s">
        <v>132</v>
      </c>
      <c r="AF12" s="30" t="s">
        <v>348</v>
      </c>
      <c r="AG12" s="30" t="s">
        <v>132</v>
      </c>
      <c r="AH12" s="560" t="s">
        <v>124</v>
      </c>
    </row>
    <row r="13" spans="1:34" x14ac:dyDescent="0.2">
      <c r="A13" s="95" t="s">
        <v>50</v>
      </c>
      <c r="B13" s="64"/>
      <c r="C13" s="30" t="s">
        <v>32</v>
      </c>
      <c r="D13" s="30" t="s">
        <v>124</v>
      </c>
      <c r="E13" s="40" t="s">
        <v>133</v>
      </c>
      <c r="F13" s="115" t="s">
        <v>133</v>
      </c>
      <c r="G13" s="559" t="s">
        <v>32</v>
      </c>
      <c r="H13" s="30" t="s">
        <v>124</v>
      </c>
      <c r="I13" s="40" t="s">
        <v>133</v>
      </c>
      <c r="J13" s="561" t="s">
        <v>133</v>
      </c>
      <c r="K13" s="95" t="s">
        <v>50</v>
      </c>
      <c r="L13" s="64"/>
      <c r="M13" s="30" t="s">
        <v>32</v>
      </c>
      <c r="N13" s="30" t="s">
        <v>124</v>
      </c>
      <c r="O13" s="40" t="s">
        <v>133</v>
      </c>
      <c r="P13" s="40" t="s">
        <v>133</v>
      </c>
      <c r="Q13" s="272" t="s">
        <v>32</v>
      </c>
      <c r="R13" s="30" t="s">
        <v>32</v>
      </c>
      <c r="S13" s="115" t="s">
        <v>133</v>
      </c>
      <c r="T13" s="40" t="s">
        <v>133</v>
      </c>
      <c r="U13" s="115" t="s">
        <v>133</v>
      </c>
      <c r="V13" s="561" t="s">
        <v>133</v>
      </c>
      <c r="W13" s="95" t="s">
        <v>50</v>
      </c>
      <c r="X13" s="71"/>
      <c r="Y13" s="272" t="s">
        <v>32</v>
      </c>
      <c r="Z13" s="30" t="s">
        <v>124</v>
      </c>
      <c r="AA13" s="40" t="s">
        <v>133</v>
      </c>
      <c r="AB13" s="561" t="s">
        <v>133</v>
      </c>
      <c r="AC13" s="559" t="s">
        <v>32</v>
      </c>
      <c r="AD13" s="30" t="s">
        <v>124</v>
      </c>
      <c r="AE13" s="40" t="s">
        <v>133</v>
      </c>
      <c r="AF13" s="30" t="s">
        <v>348</v>
      </c>
      <c r="AG13" s="40" t="s">
        <v>133</v>
      </c>
      <c r="AH13" s="560" t="s">
        <v>124</v>
      </c>
    </row>
    <row r="14" spans="1:34" x14ac:dyDescent="0.2">
      <c r="A14" s="95" t="s">
        <v>24</v>
      </c>
      <c r="B14" s="63"/>
      <c r="C14" s="30" t="s">
        <v>32</v>
      </c>
      <c r="D14" s="30" t="s">
        <v>124</v>
      </c>
      <c r="E14" s="30" t="s">
        <v>48</v>
      </c>
      <c r="F14" s="110" t="s">
        <v>48</v>
      </c>
      <c r="G14" s="559" t="s">
        <v>32</v>
      </c>
      <c r="H14" s="30" t="s">
        <v>124</v>
      </c>
      <c r="I14" s="30" t="s">
        <v>48</v>
      </c>
      <c r="J14" s="560" t="s">
        <v>48</v>
      </c>
      <c r="K14" s="95" t="s">
        <v>24</v>
      </c>
      <c r="L14" s="63"/>
      <c r="M14" s="30" t="s">
        <v>32</v>
      </c>
      <c r="N14" s="30" t="s">
        <v>124</v>
      </c>
      <c r="O14" s="30" t="s">
        <v>48</v>
      </c>
      <c r="P14" s="30" t="s">
        <v>48</v>
      </c>
      <c r="Q14" s="272" t="s">
        <v>32</v>
      </c>
      <c r="R14" s="30" t="s">
        <v>124</v>
      </c>
      <c r="S14" s="110" t="s">
        <v>48</v>
      </c>
      <c r="T14" s="30" t="s">
        <v>48</v>
      </c>
      <c r="U14" s="110" t="s">
        <v>48</v>
      </c>
      <c r="V14" s="560" t="s">
        <v>48</v>
      </c>
      <c r="W14" s="95" t="s">
        <v>24</v>
      </c>
      <c r="X14" s="250"/>
      <c r="Y14" s="272" t="s">
        <v>32</v>
      </c>
      <c r="Z14" s="30" t="s">
        <v>124</v>
      </c>
      <c r="AA14" s="30" t="s">
        <v>48</v>
      </c>
      <c r="AB14" s="560" t="s">
        <v>48</v>
      </c>
      <c r="AC14" s="559" t="s">
        <v>32</v>
      </c>
      <c r="AD14" s="30" t="s">
        <v>124</v>
      </c>
      <c r="AE14" s="30" t="s">
        <v>48</v>
      </c>
      <c r="AF14" s="30" t="s">
        <v>348</v>
      </c>
      <c r="AG14" s="30" t="s">
        <v>48</v>
      </c>
      <c r="AH14" s="560" t="s">
        <v>124</v>
      </c>
    </row>
    <row r="15" spans="1:34" x14ac:dyDescent="0.2">
      <c r="A15" s="95" t="s">
        <v>111</v>
      </c>
      <c r="B15" s="63"/>
      <c r="C15" s="30" t="s">
        <v>32</v>
      </c>
      <c r="D15" s="30" t="s">
        <v>124</v>
      </c>
      <c r="E15" s="29" t="s">
        <v>110</v>
      </c>
      <c r="F15" s="110" t="s">
        <v>110</v>
      </c>
      <c r="G15" s="559" t="s">
        <v>32</v>
      </c>
      <c r="H15" s="30" t="s">
        <v>124</v>
      </c>
      <c r="I15" s="29" t="s">
        <v>110</v>
      </c>
      <c r="J15" s="560" t="s">
        <v>110</v>
      </c>
      <c r="K15" s="95" t="s">
        <v>111</v>
      </c>
      <c r="L15" s="63"/>
      <c r="M15" s="30" t="s">
        <v>32</v>
      </c>
      <c r="N15" s="30" t="s">
        <v>124</v>
      </c>
      <c r="O15" s="29" t="s">
        <v>110</v>
      </c>
      <c r="P15" s="30" t="s">
        <v>110</v>
      </c>
      <c r="Q15" s="272" t="s">
        <v>32</v>
      </c>
      <c r="R15" s="30" t="s">
        <v>124</v>
      </c>
      <c r="S15" s="113" t="s">
        <v>110</v>
      </c>
      <c r="T15" s="30" t="s">
        <v>110</v>
      </c>
      <c r="U15" s="113" t="s">
        <v>110</v>
      </c>
      <c r="V15" s="560" t="s">
        <v>110</v>
      </c>
      <c r="W15" s="95" t="s">
        <v>111</v>
      </c>
      <c r="X15" s="250"/>
      <c r="Y15" s="272" t="s">
        <v>32</v>
      </c>
      <c r="Z15" s="30" t="s">
        <v>124</v>
      </c>
      <c r="AA15" s="29" t="s">
        <v>110</v>
      </c>
      <c r="AB15" s="560" t="s">
        <v>110</v>
      </c>
      <c r="AC15" s="559" t="s">
        <v>32</v>
      </c>
      <c r="AD15" s="30" t="s">
        <v>124</v>
      </c>
      <c r="AE15" s="29" t="s">
        <v>110</v>
      </c>
      <c r="AF15" s="30" t="s">
        <v>348</v>
      </c>
      <c r="AG15" s="30" t="s">
        <v>110</v>
      </c>
      <c r="AH15" s="560" t="s">
        <v>124</v>
      </c>
    </row>
    <row r="16" spans="1:34" x14ac:dyDescent="0.2">
      <c r="A16" s="96" t="s">
        <v>25</v>
      </c>
      <c r="B16" s="65"/>
      <c r="C16" s="30" t="s">
        <v>32</v>
      </c>
      <c r="D16" s="30" t="s">
        <v>124</v>
      </c>
      <c r="E16" s="29">
        <v>0.9</v>
      </c>
      <c r="F16" s="283" t="s">
        <v>301</v>
      </c>
      <c r="G16" s="559" t="s">
        <v>32</v>
      </c>
      <c r="H16" s="30" t="s">
        <v>124</v>
      </c>
      <c r="I16" s="29">
        <v>0.9</v>
      </c>
      <c r="J16" s="562" t="s">
        <v>301</v>
      </c>
      <c r="K16" s="96" t="s">
        <v>25</v>
      </c>
      <c r="L16" s="65"/>
      <c r="M16" s="30" t="s">
        <v>32</v>
      </c>
      <c r="N16" s="30" t="s">
        <v>124</v>
      </c>
      <c r="O16" s="29">
        <v>0.9</v>
      </c>
      <c r="P16" s="264" t="s">
        <v>301</v>
      </c>
      <c r="Q16" s="272" t="s">
        <v>32</v>
      </c>
      <c r="R16" s="30" t="s">
        <v>124</v>
      </c>
      <c r="S16" s="113" t="s">
        <v>110</v>
      </c>
      <c r="T16" s="264" t="s">
        <v>110</v>
      </c>
      <c r="U16" s="113" t="s">
        <v>110</v>
      </c>
      <c r="V16" s="562" t="s">
        <v>110</v>
      </c>
      <c r="W16" s="96" t="s">
        <v>25</v>
      </c>
      <c r="X16" s="251"/>
      <c r="Y16" s="272" t="s">
        <v>32</v>
      </c>
      <c r="Z16" s="30" t="s">
        <v>124</v>
      </c>
      <c r="AA16" s="29">
        <v>0.9</v>
      </c>
      <c r="AB16" s="562" t="s">
        <v>301</v>
      </c>
      <c r="AC16" s="559" t="s">
        <v>32</v>
      </c>
      <c r="AD16" s="30" t="s">
        <v>124</v>
      </c>
      <c r="AE16" s="29">
        <v>0.9</v>
      </c>
      <c r="AF16" s="30" t="s">
        <v>348</v>
      </c>
      <c r="AG16" s="264" t="s">
        <v>301</v>
      </c>
      <c r="AH16" s="560" t="s">
        <v>124</v>
      </c>
    </row>
    <row r="17" spans="1:34" x14ac:dyDescent="0.2">
      <c r="A17" s="97" t="s">
        <v>28</v>
      </c>
      <c r="B17" s="66"/>
      <c r="C17" s="39" t="s">
        <v>110</v>
      </c>
      <c r="D17" s="30" t="s">
        <v>124</v>
      </c>
      <c r="E17" s="39" t="s">
        <v>110</v>
      </c>
      <c r="F17" s="239" t="s">
        <v>110</v>
      </c>
      <c r="G17" s="563" t="s">
        <v>110</v>
      </c>
      <c r="H17" s="30" t="s">
        <v>124</v>
      </c>
      <c r="I17" s="39" t="s">
        <v>110</v>
      </c>
      <c r="J17" s="564" t="s">
        <v>110</v>
      </c>
      <c r="K17" s="97" t="s">
        <v>28</v>
      </c>
      <c r="L17" s="66"/>
      <c r="M17" s="39" t="s">
        <v>110</v>
      </c>
      <c r="N17" s="30" t="s">
        <v>124</v>
      </c>
      <c r="O17" s="39" t="s">
        <v>110</v>
      </c>
      <c r="P17" s="39" t="s">
        <v>110</v>
      </c>
      <c r="Q17" s="273" t="s">
        <v>110</v>
      </c>
      <c r="R17" s="30" t="s">
        <v>124</v>
      </c>
      <c r="S17" s="239" t="s">
        <v>110</v>
      </c>
      <c r="T17" s="39" t="s">
        <v>110</v>
      </c>
      <c r="U17" s="239" t="s">
        <v>110</v>
      </c>
      <c r="V17" s="564" t="s">
        <v>110</v>
      </c>
      <c r="W17" s="97" t="s">
        <v>28</v>
      </c>
      <c r="X17" s="252"/>
      <c r="Y17" s="273" t="s">
        <v>110</v>
      </c>
      <c r="Z17" s="30" t="s">
        <v>124</v>
      </c>
      <c r="AA17" s="39" t="s">
        <v>110</v>
      </c>
      <c r="AB17" s="564" t="s">
        <v>110</v>
      </c>
      <c r="AC17" s="563" t="s">
        <v>110</v>
      </c>
      <c r="AD17" s="30" t="s">
        <v>124</v>
      </c>
      <c r="AE17" s="39" t="s">
        <v>110</v>
      </c>
      <c r="AF17" s="30" t="s">
        <v>348</v>
      </c>
      <c r="AG17" s="39" t="s">
        <v>110</v>
      </c>
      <c r="AH17" s="560" t="s">
        <v>124</v>
      </c>
    </row>
    <row r="18" spans="1:34" ht="13.5" customHeight="1" x14ac:dyDescent="0.2">
      <c r="A18" s="97" t="s">
        <v>71</v>
      </c>
      <c r="B18" s="66"/>
      <c r="C18" s="30" t="s">
        <v>32</v>
      </c>
      <c r="D18" s="30" t="s">
        <v>124</v>
      </c>
      <c r="E18" s="30" t="s">
        <v>48</v>
      </c>
      <c r="F18" s="110" t="s">
        <v>48</v>
      </c>
      <c r="G18" s="559" t="s">
        <v>32</v>
      </c>
      <c r="H18" s="30" t="s">
        <v>124</v>
      </c>
      <c r="I18" s="30" t="s">
        <v>48</v>
      </c>
      <c r="J18" s="560" t="s">
        <v>48</v>
      </c>
      <c r="K18" s="97" t="s">
        <v>71</v>
      </c>
      <c r="L18" s="66"/>
      <c r="M18" s="30" t="s">
        <v>32</v>
      </c>
      <c r="N18" s="30" t="s">
        <v>124</v>
      </c>
      <c r="O18" s="30" t="s">
        <v>48</v>
      </c>
      <c r="P18" s="30" t="s">
        <v>48</v>
      </c>
      <c r="Q18" s="272" t="s">
        <v>32</v>
      </c>
      <c r="R18" s="30" t="s">
        <v>124</v>
      </c>
      <c r="S18" s="110" t="s">
        <v>48</v>
      </c>
      <c r="T18" s="30" t="s">
        <v>48</v>
      </c>
      <c r="U18" s="110" t="s">
        <v>48</v>
      </c>
      <c r="V18" s="560" t="s">
        <v>48</v>
      </c>
      <c r="W18" s="97" t="s">
        <v>71</v>
      </c>
      <c r="X18" s="252"/>
      <c r="Y18" s="272" t="s">
        <v>32</v>
      </c>
      <c r="Z18" s="30" t="s">
        <v>124</v>
      </c>
      <c r="AA18" s="30" t="s">
        <v>48</v>
      </c>
      <c r="AB18" s="560" t="s">
        <v>48</v>
      </c>
      <c r="AC18" s="559" t="s">
        <v>32</v>
      </c>
      <c r="AD18" s="30" t="s">
        <v>124</v>
      </c>
      <c r="AE18" s="30" t="s">
        <v>112</v>
      </c>
      <c r="AF18" s="30" t="s">
        <v>348</v>
      </c>
      <c r="AG18" s="30" t="s">
        <v>301</v>
      </c>
      <c r="AH18" s="560" t="s">
        <v>124</v>
      </c>
    </row>
    <row r="19" spans="1:34" x14ac:dyDescent="0.2">
      <c r="A19" s="99" t="s">
        <v>62</v>
      </c>
      <c r="B19" s="68"/>
      <c r="C19" s="43"/>
      <c r="D19" s="44"/>
      <c r="E19" s="43"/>
      <c r="F19" s="240"/>
      <c r="G19" s="565"/>
      <c r="H19" s="44"/>
      <c r="I19" s="43"/>
      <c r="J19" s="566"/>
      <c r="K19" s="99" t="s">
        <v>62</v>
      </c>
      <c r="L19" s="68"/>
      <c r="M19" s="43"/>
      <c r="N19" s="44"/>
      <c r="O19" s="43"/>
      <c r="P19" s="43"/>
      <c r="Q19" s="274"/>
      <c r="R19" s="44"/>
      <c r="S19" s="240"/>
      <c r="T19" s="43"/>
      <c r="U19" s="240"/>
      <c r="V19" s="566"/>
      <c r="W19" s="99" t="s">
        <v>62</v>
      </c>
      <c r="X19" s="253"/>
      <c r="Y19" s="274"/>
      <c r="Z19" s="44"/>
      <c r="AA19" s="43"/>
      <c r="AB19" s="566"/>
      <c r="AC19" s="565"/>
      <c r="AD19" s="44"/>
      <c r="AE19" s="43"/>
      <c r="AF19" s="43"/>
      <c r="AG19" s="43"/>
      <c r="AH19" s="566"/>
    </row>
    <row r="20" spans="1:34" x14ac:dyDescent="0.2">
      <c r="A20" s="95" t="s">
        <v>51</v>
      </c>
      <c r="B20" s="63"/>
      <c r="C20" s="30" t="s">
        <v>32</v>
      </c>
      <c r="D20" s="30" t="s">
        <v>124</v>
      </c>
      <c r="E20" s="29">
        <v>0.9</v>
      </c>
      <c r="F20" s="110" t="s">
        <v>301</v>
      </c>
      <c r="G20" s="559" t="s">
        <v>32</v>
      </c>
      <c r="H20" s="30" t="s">
        <v>124</v>
      </c>
      <c r="I20" s="29">
        <v>0.9</v>
      </c>
      <c r="J20" s="560" t="s">
        <v>301</v>
      </c>
      <c r="K20" s="95" t="s">
        <v>51</v>
      </c>
      <c r="L20" s="63"/>
      <c r="M20" s="30" t="s">
        <v>32</v>
      </c>
      <c r="N20" s="30" t="s">
        <v>124</v>
      </c>
      <c r="O20" s="29">
        <v>0.9</v>
      </c>
      <c r="P20" s="30" t="s">
        <v>301</v>
      </c>
      <c r="Q20" s="272" t="s">
        <v>32</v>
      </c>
      <c r="R20" s="30" t="s">
        <v>124</v>
      </c>
      <c r="S20" s="113">
        <v>0.9</v>
      </c>
      <c r="T20" s="30" t="s">
        <v>301</v>
      </c>
      <c r="U20" s="113">
        <v>0.9</v>
      </c>
      <c r="V20" s="560" t="s">
        <v>301</v>
      </c>
      <c r="W20" s="95" t="s">
        <v>51</v>
      </c>
      <c r="X20" s="250"/>
      <c r="Y20" s="272" t="s">
        <v>32</v>
      </c>
      <c r="Z20" s="30" t="s">
        <v>124</v>
      </c>
      <c r="AA20" s="29">
        <v>0.9</v>
      </c>
      <c r="AB20" s="560" t="s">
        <v>301</v>
      </c>
      <c r="AC20" s="559" t="s">
        <v>32</v>
      </c>
      <c r="AD20" s="30" t="s">
        <v>124</v>
      </c>
      <c r="AE20" s="29">
        <v>0.9</v>
      </c>
      <c r="AF20" s="29" t="s">
        <v>348</v>
      </c>
      <c r="AG20" s="30" t="s">
        <v>301</v>
      </c>
      <c r="AH20" s="556" t="s">
        <v>124</v>
      </c>
    </row>
    <row r="21" spans="1:34" x14ac:dyDescent="0.2">
      <c r="A21" s="95" t="s">
        <v>52</v>
      </c>
      <c r="B21" s="63"/>
      <c r="C21" s="30" t="s">
        <v>32</v>
      </c>
      <c r="D21" s="30" t="s">
        <v>124</v>
      </c>
      <c r="E21" s="29">
        <v>0.9</v>
      </c>
      <c r="F21" s="110" t="s">
        <v>301</v>
      </c>
      <c r="G21" s="559" t="s">
        <v>32</v>
      </c>
      <c r="H21" s="30" t="s">
        <v>124</v>
      </c>
      <c r="I21" s="29">
        <v>0.9</v>
      </c>
      <c r="J21" s="560" t="s">
        <v>301</v>
      </c>
      <c r="K21" s="95" t="s">
        <v>52</v>
      </c>
      <c r="L21" s="63"/>
      <c r="M21" s="30" t="s">
        <v>32</v>
      </c>
      <c r="N21" s="30" t="s">
        <v>124</v>
      </c>
      <c r="O21" s="29">
        <v>0.9</v>
      </c>
      <c r="P21" s="30" t="s">
        <v>301</v>
      </c>
      <c r="Q21" s="272" t="s">
        <v>32</v>
      </c>
      <c r="R21" s="30" t="s">
        <v>124</v>
      </c>
      <c r="S21" s="494">
        <v>50</v>
      </c>
      <c r="T21" s="30" t="s">
        <v>48</v>
      </c>
      <c r="U21" s="494">
        <v>50</v>
      </c>
      <c r="V21" s="560" t="s">
        <v>48</v>
      </c>
      <c r="W21" s="95" t="s">
        <v>52</v>
      </c>
      <c r="X21" s="250"/>
      <c r="Y21" s="272" t="s">
        <v>32</v>
      </c>
      <c r="Z21" s="30" t="s">
        <v>124</v>
      </c>
      <c r="AA21" s="29">
        <v>0.9</v>
      </c>
      <c r="AB21" s="560" t="s">
        <v>301</v>
      </c>
      <c r="AC21" s="559" t="s">
        <v>32</v>
      </c>
      <c r="AD21" s="30" t="s">
        <v>124</v>
      </c>
      <c r="AE21" s="29">
        <v>0.9</v>
      </c>
      <c r="AF21" s="29" t="s">
        <v>348</v>
      </c>
      <c r="AG21" s="30" t="s">
        <v>301</v>
      </c>
      <c r="AH21" s="556" t="s">
        <v>124</v>
      </c>
    </row>
    <row r="22" spans="1:34" x14ac:dyDescent="0.2">
      <c r="A22" s="95" t="s">
        <v>38</v>
      </c>
      <c r="B22" s="63"/>
      <c r="C22" s="30" t="s">
        <v>32</v>
      </c>
      <c r="D22" s="30" t="s">
        <v>124</v>
      </c>
      <c r="E22" s="29">
        <v>0.9</v>
      </c>
      <c r="F22" s="110" t="s">
        <v>301</v>
      </c>
      <c r="G22" s="559" t="s">
        <v>32</v>
      </c>
      <c r="H22" s="30" t="s">
        <v>124</v>
      </c>
      <c r="I22" s="29">
        <v>0.9</v>
      </c>
      <c r="J22" s="560" t="s">
        <v>301</v>
      </c>
      <c r="K22" s="95" t="s">
        <v>38</v>
      </c>
      <c r="L22" s="63"/>
      <c r="M22" s="30" t="s">
        <v>32</v>
      </c>
      <c r="N22" s="30" t="s">
        <v>124</v>
      </c>
      <c r="O22" s="29">
        <v>0.9</v>
      </c>
      <c r="P22" s="30" t="s">
        <v>301</v>
      </c>
      <c r="Q22" s="272" t="s">
        <v>32</v>
      </c>
      <c r="R22" s="30" t="s">
        <v>124</v>
      </c>
      <c r="S22" s="494">
        <v>50</v>
      </c>
      <c r="T22" s="30" t="s">
        <v>48</v>
      </c>
      <c r="U22" s="494">
        <v>50</v>
      </c>
      <c r="V22" s="560" t="s">
        <v>48</v>
      </c>
      <c r="W22" s="95" t="s">
        <v>38</v>
      </c>
      <c r="X22" s="250"/>
      <c r="Y22" s="272" t="s">
        <v>32</v>
      </c>
      <c r="Z22" s="30" t="s">
        <v>124</v>
      </c>
      <c r="AA22" s="29">
        <v>0.9</v>
      </c>
      <c r="AB22" s="560" t="s">
        <v>301</v>
      </c>
      <c r="AC22" s="559" t="s">
        <v>32</v>
      </c>
      <c r="AD22" s="30" t="s">
        <v>124</v>
      </c>
      <c r="AE22" s="29">
        <v>0.9</v>
      </c>
      <c r="AF22" s="29" t="s">
        <v>348</v>
      </c>
      <c r="AG22" s="30" t="s">
        <v>301</v>
      </c>
      <c r="AH22" s="556" t="s">
        <v>124</v>
      </c>
    </row>
    <row r="23" spans="1:34" x14ac:dyDescent="0.2">
      <c r="A23" s="100" t="s">
        <v>54</v>
      </c>
      <c r="B23" s="69"/>
      <c r="C23" s="30" t="s">
        <v>32</v>
      </c>
      <c r="D23" s="30" t="s">
        <v>124</v>
      </c>
      <c r="E23" s="31" t="s">
        <v>110</v>
      </c>
      <c r="F23" s="502" t="s">
        <v>110</v>
      </c>
      <c r="G23" s="559" t="s">
        <v>32</v>
      </c>
      <c r="H23" s="30" t="s">
        <v>124</v>
      </c>
      <c r="I23" s="31" t="s">
        <v>110</v>
      </c>
      <c r="J23" s="567" t="s">
        <v>110</v>
      </c>
      <c r="K23" s="100" t="s">
        <v>54</v>
      </c>
      <c r="L23" s="69"/>
      <c r="M23" s="30" t="s">
        <v>32</v>
      </c>
      <c r="N23" s="30" t="s">
        <v>124</v>
      </c>
      <c r="O23" s="31" t="s">
        <v>110</v>
      </c>
      <c r="P23" s="31" t="s">
        <v>110</v>
      </c>
      <c r="Q23" s="272" t="s">
        <v>32</v>
      </c>
      <c r="R23" s="30" t="s">
        <v>124</v>
      </c>
      <c r="S23" s="283" t="s">
        <v>110</v>
      </c>
      <c r="T23" s="31" t="s">
        <v>110</v>
      </c>
      <c r="U23" s="283" t="s">
        <v>110</v>
      </c>
      <c r="V23" s="567" t="s">
        <v>110</v>
      </c>
      <c r="W23" s="100" t="s">
        <v>54</v>
      </c>
      <c r="X23" s="254"/>
      <c r="Y23" s="272" t="s">
        <v>32</v>
      </c>
      <c r="Z23" s="30" t="s">
        <v>124</v>
      </c>
      <c r="AA23" s="31" t="s">
        <v>110</v>
      </c>
      <c r="AB23" s="567" t="s">
        <v>110</v>
      </c>
      <c r="AC23" s="559" t="s">
        <v>32</v>
      </c>
      <c r="AD23" s="30" t="s">
        <v>124</v>
      </c>
      <c r="AE23" s="31" t="s">
        <v>110</v>
      </c>
      <c r="AF23" s="29" t="s">
        <v>348</v>
      </c>
      <c r="AG23" s="31" t="s">
        <v>110</v>
      </c>
      <c r="AH23" s="556" t="s">
        <v>124</v>
      </c>
    </row>
    <row r="24" spans="1:34" x14ac:dyDescent="0.2">
      <c r="A24" s="97" t="s">
        <v>60</v>
      </c>
      <c r="B24" s="66"/>
      <c r="C24" s="30" t="s">
        <v>32</v>
      </c>
      <c r="D24" s="30" t="s">
        <v>124</v>
      </c>
      <c r="E24" s="30" t="s">
        <v>110</v>
      </c>
      <c r="F24" s="110" t="s">
        <v>110</v>
      </c>
      <c r="G24" s="559" t="s">
        <v>32</v>
      </c>
      <c r="H24" s="30" t="s">
        <v>124</v>
      </c>
      <c r="I24" s="30" t="s">
        <v>110</v>
      </c>
      <c r="J24" s="560" t="s">
        <v>110</v>
      </c>
      <c r="K24" s="97" t="s">
        <v>60</v>
      </c>
      <c r="L24" s="66"/>
      <c r="M24" s="30" t="s">
        <v>32</v>
      </c>
      <c r="N24" s="30" t="s">
        <v>124</v>
      </c>
      <c r="O24" s="30" t="s">
        <v>110</v>
      </c>
      <c r="P24" s="30" t="s">
        <v>110</v>
      </c>
      <c r="Q24" s="272" t="s">
        <v>32</v>
      </c>
      <c r="R24" s="30" t="s">
        <v>124</v>
      </c>
      <c r="S24" s="110" t="s">
        <v>48</v>
      </c>
      <c r="T24" s="30" t="s">
        <v>48</v>
      </c>
      <c r="U24" s="110" t="s">
        <v>48</v>
      </c>
      <c r="V24" s="560" t="s">
        <v>48</v>
      </c>
      <c r="W24" s="97" t="s">
        <v>60</v>
      </c>
      <c r="X24" s="252"/>
      <c r="Y24" s="272" t="s">
        <v>32</v>
      </c>
      <c r="Z24" s="30" t="s">
        <v>124</v>
      </c>
      <c r="AA24" s="30" t="s">
        <v>110</v>
      </c>
      <c r="AB24" s="560" t="s">
        <v>110</v>
      </c>
      <c r="AC24" s="559" t="s">
        <v>32</v>
      </c>
      <c r="AD24" s="30" t="s">
        <v>124</v>
      </c>
      <c r="AE24" s="30" t="s">
        <v>110</v>
      </c>
      <c r="AF24" s="29" t="s">
        <v>348</v>
      </c>
      <c r="AG24" s="30" t="s">
        <v>110</v>
      </c>
      <c r="AH24" s="556" t="s">
        <v>124</v>
      </c>
    </row>
    <row r="25" spans="1:34" x14ac:dyDescent="0.2">
      <c r="A25" s="95" t="s">
        <v>55</v>
      </c>
      <c r="B25" s="63"/>
      <c r="C25" s="30" t="s">
        <v>32</v>
      </c>
      <c r="D25" s="30" t="s">
        <v>124</v>
      </c>
      <c r="E25" s="40" t="s">
        <v>112</v>
      </c>
      <c r="F25" s="115" t="s">
        <v>301</v>
      </c>
      <c r="G25" s="559" t="s">
        <v>32</v>
      </c>
      <c r="H25" s="30" t="s">
        <v>124</v>
      </c>
      <c r="I25" s="40" t="s">
        <v>112</v>
      </c>
      <c r="J25" s="561" t="s">
        <v>301</v>
      </c>
      <c r="K25" s="95" t="s">
        <v>55</v>
      </c>
      <c r="L25" s="63"/>
      <c r="M25" s="30" t="s">
        <v>32</v>
      </c>
      <c r="N25" s="30" t="s">
        <v>124</v>
      </c>
      <c r="O25" s="40" t="s">
        <v>112</v>
      </c>
      <c r="P25" s="40" t="s">
        <v>301</v>
      </c>
      <c r="Q25" s="272" t="s">
        <v>32</v>
      </c>
      <c r="R25" s="30" t="s">
        <v>32</v>
      </c>
      <c r="S25" s="115" t="s">
        <v>110</v>
      </c>
      <c r="T25" s="40" t="s">
        <v>110</v>
      </c>
      <c r="U25" s="115" t="s">
        <v>110</v>
      </c>
      <c r="V25" s="561" t="s">
        <v>110</v>
      </c>
      <c r="W25" s="95" t="s">
        <v>55</v>
      </c>
      <c r="X25" s="250"/>
      <c r="Y25" s="272" t="s">
        <v>32</v>
      </c>
      <c r="Z25" s="30" t="s">
        <v>124</v>
      </c>
      <c r="AA25" s="40" t="s">
        <v>112</v>
      </c>
      <c r="AB25" s="561" t="s">
        <v>301</v>
      </c>
      <c r="AC25" s="559" t="s">
        <v>32</v>
      </c>
      <c r="AD25" s="30" t="s">
        <v>124</v>
      </c>
      <c r="AE25" s="40" t="s">
        <v>112</v>
      </c>
      <c r="AF25" s="29" t="s">
        <v>348</v>
      </c>
      <c r="AG25" s="40" t="s">
        <v>301</v>
      </c>
      <c r="AH25" s="556" t="s">
        <v>124</v>
      </c>
    </row>
    <row r="26" spans="1:34" ht="12.75" customHeight="1" x14ac:dyDescent="0.2">
      <c r="A26" s="95" t="s">
        <v>53</v>
      </c>
      <c r="B26" s="64"/>
      <c r="C26" s="1514" t="s">
        <v>32</v>
      </c>
      <c r="D26" s="1514"/>
      <c r="E26" s="33" t="s">
        <v>299</v>
      </c>
      <c r="F26" s="236" t="s">
        <v>299</v>
      </c>
      <c r="G26" s="1510" t="s">
        <v>32</v>
      </c>
      <c r="H26" s="1511"/>
      <c r="I26" s="33" t="s">
        <v>299</v>
      </c>
      <c r="J26" s="568" t="s">
        <v>299</v>
      </c>
      <c r="K26" s="95" t="s">
        <v>53</v>
      </c>
      <c r="L26" s="64"/>
      <c r="M26" s="1514" t="s">
        <v>32</v>
      </c>
      <c r="N26" s="1514"/>
      <c r="O26" s="33" t="s">
        <v>299</v>
      </c>
      <c r="P26" s="33" t="s">
        <v>299</v>
      </c>
      <c r="Q26" s="1520" t="s">
        <v>32</v>
      </c>
      <c r="R26" s="1521"/>
      <c r="S26" s="236" t="s">
        <v>299</v>
      </c>
      <c r="T26" s="502" t="s">
        <v>299</v>
      </c>
      <c r="U26" s="236" t="s">
        <v>299</v>
      </c>
      <c r="V26" s="567" t="s">
        <v>299</v>
      </c>
      <c r="W26" s="95" t="s">
        <v>53</v>
      </c>
      <c r="X26" s="71"/>
      <c r="Y26" s="1533" t="s">
        <v>32</v>
      </c>
      <c r="Z26" s="1514"/>
      <c r="AA26" s="33" t="s">
        <v>299</v>
      </c>
      <c r="AB26" s="568" t="s">
        <v>299</v>
      </c>
      <c r="AC26" s="1510" t="s">
        <v>32</v>
      </c>
      <c r="AD26" s="1511"/>
      <c r="AE26" s="1530" t="s">
        <v>349</v>
      </c>
      <c r="AF26" s="1521"/>
      <c r="AG26" s="1530" t="s">
        <v>353</v>
      </c>
      <c r="AH26" s="1547"/>
    </row>
    <row r="27" spans="1:34" ht="12.75" customHeight="1" x14ac:dyDescent="0.2">
      <c r="A27" s="90" t="s">
        <v>63</v>
      </c>
      <c r="B27" s="70"/>
      <c r="C27" s="45"/>
      <c r="D27" s="45"/>
      <c r="E27" s="45"/>
      <c r="F27" s="116"/>
      <c r="G27" s="569"/>
      <c r="H27" s="45"/>
      <c r="I27" s="45"/>
      <c r="J27" s="570"/>
      <c r="K27" s="90" t="s">
        <v>63</v>
      </c>
      <c r="L27" s="70"/>
      <c r="M27" s="45"/>
      <c r="N27" s="45"/>
      <c r="O27" s="45"/>
      <c r="P27" s="45"/>
      <c r="Q27" s="275"/>
      <c r="R27" s="45"/>
      <c r="S27" s="116"/>
      <c r="T27" s="45"/>
      <c r="U27" s="116"/>
      <c r="V27" s="570"/>
      <c r="W27" s="90" t="s">
        <v>63</v>
      </c>
      <c r="X27" s="70"/>
      <c r="Y27" s="275"/>
      <c r="Z27" s="45"/>
      <c r="AA27" s="45"/>
      <c r="AB27" s="570"/>
      <c r="AC27" s="569"/>
      <c r="AD27" s="45"/>
      <c r="AE27" s="45"/>
      <c r="AF27" s="45"/>
      <c r="AG27" s="45"/>
      <c r="AH27" s="570"/>
    </row>
    <row r="28" spans="1:34" x14ac:dyDescent="0.2">
      <c r="A28" s="97" t="s">
        <v>56</v>
      </c>
      <c r="B28" s="66"/>
      <c r="C28" s="30" t="s">
        <v>32</v>
      </c>
      <c r="D28" s="40" t="s">
        <v>124</v>
      </c>
      <c r="E28" s="30" t="s">
        <v>112</v>
      </c>
      <c r="F28" s="110" t="s">
        <v>301</v>
      </c>
      <c r="G28" s="559" t="s">
        <v>32</v>
      </c>
      <c r="H28" s="40" t="s">
        <v>124</v>
      </c>
      <c r="I28" s="30" t="s">
        <v>112</v>
      </c>
      <c r="J28" s="560" t="s">
        <v>301</v>
      </c>
      <c r="K28" s="97" t="s">
        <v>56</v>
      </c>
      <c r="L28" s="66"/>
      <c r="M28" s="30" t="s">
        <v>32</v>
      </c>
      <c r="N28" s="40" t="s">
        <v>124</v>
      </c>
      <c r="O28" s="30" t="s">
        <v>112</v>
      </c>
      <c r="P28" s="30" t="s">
        <v>301</v>
      </c>
      <c r="Q28" s="272" t="s">
        <v>32</v>
      </c>
      <c r="R28" s="40" t="s">
        <v>124</v>
      </c>
      <c r="S28" s="110" t="s">
        <v>112</v>
      </c>
      <c r="T28" s="30" t="s">
        <v>301</v>
      </c>
      <c r="U28" s="110" t="s">
        <v>112</v>
      </c>
      <c r="V28" s="560" t="s">
        <v>301</v>
      </c>
      <c r="W28" s="97" t="s">
        <v>56</v>
      </c>
      <c r="X28" s="252"/>
      <c r="Y28" s="272" t="s">
        <v>32</v>
      </c>
      <c r="Z28" s="40" t="s">
        <v>124</v>
      </c>
      <c r="AA28" s="30" t="s">
        <v>112</v>
      </c>
      <c r="AB28" s="560" t="s">
        <v>301</v>
      </c>
      <c r="AC28" s="559" t="s">
        <v>32</v>
      </c>
      <c r="AD28" s="40" t="s">
        <v>124</v>
      </c>
      <c r="AE28" s="30" t="s">
        <v>112</v>
      </c>
      <c r="AF28" s="30" t="s">
        <v>348</v>
      </c>
      <c r="AG28" s="30" t="s">
        <v>301</v>
      </c>
      <c r="AH28" s="560" t="s">
        <v>124</v>
      </c>
    </row>
    <row r="29" spans="1:34" x14ac:dyDescent="0.2">
      <c r="A29" s="97" t="s">
        <v>59</v>
      </c>
      <c r="B29" s="66"/>
      <c r="C29" s="30" t="s">
        <v>32</v>
      </c>
      <c r="D29" s="40" t="s">
        <v>124</v>
      </c>
      <c r="E29" s="30" t="s">
        <v>112</v>
      </c>
      <c r="F29" s="110" t="s">
        <v>301</v>
      </c>
      <c r="G29" s="559" t="s">
        <v>32</v>
      </c>
      <c r="H29" s="40" t="s">
        <v>124</v>
      </c>
      <c r="I29" s="30" t="s">
        <v>112</v>
      </c>
      <c r="J29" s="560" t="s">
        <v>301</v>
      </c>
      <c r="K29" s="97" t="s">
        <v>59</v>
      </c>
      <c r="L29" s="66"/>
      <c r="M29" s="30" t="s">
        <v>32</v>
      </c>
      <c r="N29" s="40" t="s">
        <v>124</v>
      </c>
      <c r="O29" s="30" t="s">
        <v>112</v>
      </c>
      <c r="P29" s="30" t="s">
        <v>301</v>
      </c>
      <c r="Q29" s="272" t="s">
        <v>32</v>
      </c>
      <c r="R29" s="40" t="s">
        <v>124</v>
      </c>
      <c r="S29" s="110" t="s">
        <v>110</v>
      </c>
      <c r="T29" s="30" t="s">
        <v>110</v>
      </c>
      <c r="U29" s="110" t="s">
        <v>110</v>
      </c>
      <c r="V29" s="560" t="s">
        <v>110</v>
      </c>
      <c r="W29" s="97" t="s">
        <v>59</v>
      </c>
      <c r="X29" s="252"/>
      <c r="Y29" s="272" t="s">
        <v>32</v>
      </c>
      <c r="Z29" s="40" t="s">
        <v>124</v>
      </c>
      <c r="AA29" s="30" t="s">
        <v>112</v>
      </c>
      <c r="AB29" s="560" t="s">
        <v>301</v>
      </c>
      <c r="AC29" s="559" t="s">
        <v>32</v>
      </c>
      <c r="AD29" s="40" t="s">
        <v>124</v>
      </c>
      <c r="AE29" s="30" t="s">
        <v>112</v>
      </c>
      <c r="AF29" s="30" t="s">
        <v>348</v>
      </c>
      <c r="AG29" s="30" t="s">
        <v>301</v>
      </c>
      <c r="AH29" s="560" t="s">
        <v>124</v>
      </c>
    </row>
    <row r="30" spans="1:34" x14ac:dyDescent="0.2">
      <c r="A30" s="222" t="s">
        <v>64</v>
      </c>
      <c r="B30" s="72"/>
      <c r="C30" s="47"/>
      <c r="D30" s="259"/>
      <c r="E30" s="260"/>
      <c r="F30" s="543"/>
      <c r="G30" s="571"/>
      <c r="H30" s="259"/>
      <c r="I30" s="260"/>
      <c r="J30" s="572"/>
      <c r="K30" s="222" t="s">
        <v>64</v>
      </c>
      <c r="L30" s="72"/>
      <c r="M30" s="47"/>
      <c r="N30" s="259"/>
      <c r="O30" s="260"/>
      <c r="P30" s="47"/>
      <c r="Q30" s="276"/>
      <c r="R30" s="48"/>
      <c r="S30" s="241"/>
      <c r="T30" s="47"/>
      <c r="U30" s="241"/>
      <c r="V30" s="572"/>
      <c r="W30" s="222" t="s">
        <v>64</v>
      </c>
      <c r="X30" s="72"/>
      <c r="Y30" s="276"/>
      <c r="Z30" s="259"/>
      <c r="AA30" s="260"/>
      <c r="AB30" s="572"/>
      <c r="AC30" s="571"/>
      <c r="AD30" s="259"/>
      <c r="AE30" s="260"/>
      <c r="AF30" s="260"/>
      <c r="AG30" s="47"/>
      <c r="AH30" s="595"/>
    </row>
    <row r="31" spans="1:34" x14ac:dyDescent="0.2">
      <c r="A31" s="101" t="s">
        <v>39</v>
      </c>
      <c r="B31" s="71"/>
      <c r="C31" s="33"/>
      <c r="D31" s="33"/>
      <c r="E31" s="33"/>
      <c r="F31" s="236"/>
      <c r="G31" s="573"/>
      <c r="H31" s="33"/>
      <c r="I31" s="33"/>
      <c r="J31" s="568"/>
      <c r="K31" s="101" t="s">
        <v>39</v>
      </c>
      <c r="L31" s="71"/>
      <c r="M31" s="33"/>
      <c r="N31" s="33"/>
      <c r="O31" s="33"/>
      <c r="P31" s="33"/>
      <c r="Q31" s="277"/>
      <c r="R31" s="32"/>
      <c r="S31" s="236"/>
      <c r="T31" s="33"/>
      <c r="U31" s="236"/>
      <c r="V31" s="568"/>
      <c r="W31" s="625" t="s">
        <v>39</v>
      </c>
      <c r="X31" s="71"/>
      <c r="Y31" s="277"/>
      <c r="Z31" s="33"/>
      <c r="AA31" s="33"/>
      <c r="AB31" s="568"/>
      <c r="AC31" s="573"/>
      <c r="AD31" s="33"/>
      <c r="AE31" s="33"/>
      <c r="AF31" s="33"/>
      <c r="AG31" s="33"/>
      <c r="AH31" s="568"/>
    </row>
    <row r="32" spans="1:34" x14ac:dyDescent="0.2">
      <c r="A32" s="102" t="s">
        <v>65</v>
      </c>
      <c r="B32" s="73"/>
      <c r="C32" s="28" t="s">
        <v>32</v>
      </c>
      <c r="D32" s="28" t="s">
        <v>124</v>
      </c>
      <c r="E32" s="261">
        <v>0.9</v>
      </c>
      <c r="F32" s="544" t="s">
        <v>301</v>
      </c>
      <c r="G32" s="554" t="s">
        <v>32</v>
      </c>
      <c r="H32" s="28" t="s">
        <v>124</v>
      </c>
      <c r="I32" s="261">
        <v>0.9</v>
      </c>
      <c r="J32" s="574" t="s">
        <v>301</v>
      </c>
      <c r="K32" s="102" t="s">
        <v>65</v>
      </c>
      <c r="L32" s="73"/>
      <c r="M32" s="28" t="s">
        <v>32</v>
      </c>
      <c r="N32" s="28" t="s">
        <v>124</v>
      </c>
      <c r="O32" s="261">
        <v>0.9</v>
      </c>
      <c r="P32" s="493" t="s">
        <v>301</v>
      </c>
      <c r="Q32" s="267" t="s">
        <v>32</v>
      </c>
      <c r="R32" s="34" t="s">
        <v>124</v>
      </c>
      <c r="S32" s="242">
        <v>0.9</v>
      </c>
      <c r="T32" s="493" t="s">
        <v>301</v>
      </c>
      <c r="U32" s="242">
        <v>0.9</v>
      </c>
      <c r="V32" s="574" t="s">
        <v>301</v>
      </c>
      <c r="W32" s="105" t="s">
        <v>65</v>
      </c>
      <c r="X32" s="73"/>
      <c r="Y32" s="267" t="s">
        <v>32</v>
      </c>
      <c r="Z32" s="28" t="s">
        <v>124</v>
      </c>
      <c r="AA32" s="261">
        <v>0.9</v>
      </c>
      <c r="AB32" s="574" t="s">
        <v>301</v>
      </c>
      <c r="AC32" s="554" t="s">
        <v>32</v>
      </c>
      <c r="AD32" s="28" t="s">
        <v>124</v>
      </c>
      <c r="AE32" s="261">
        <v>0.9</v>
      </c>
      <c r="AF32" s="261" t="s">
        <v>348</v>
      </c>
      <c r="AG32" s="493" t="s">
        <v>301</v>
      </c>
      <c r="AH32" s="596" t="s">
        <v>124</v>
      </c>
    </row>
    <row r="33" spans="1:34" x14ac:dyDescent="0.2">
      <c r="A33" s="102" t="s">
        <v>66</v>
      </c>
      <c r="B33" s="73"/>
      <c r="C33" s="28" t="s">
        <v>32</v>
      </c>
      <c r="D33" s="28" t="s">
        <v>124</v>
      </c>
      <c r="E33" s="262" t="s">
        <v>300</v>
      </c>
      <c r="F33" s="76" t="s">
        <v>300</v>
      </c>
      <c r="G33" s="554" t="s">
        <v>32</v>
      </c>
      <c r="H33" s="28" t="s">
        <v>124</v>
      </c>
      <c r="I33" s="262" t="s">
        <v>300</v>
      </c>
      <c r="J33" s="548" t="s">
        <v>300</v>
      </c>
      <c r="K33" s="102" t="s">
        <v>66</v>
      </c>
      <c r="L33" s="73"/>
      <c r="M33" s="28" t="s">
        <v>32</v>
      </c>
      <c r="N33" s="28" t="s">
        <v>124</v>
      </c>
      <c r="O33" s="262" t="s">
        <v>300</v>
      </c>
      <c r="P33" s="28" t="s">
        <v>300</v>
      </c>
      <c r="Q33" s="267" t="s">
        <v>32</v>
      </c>
      <c r="R33" s="34" t="s">
        <v>124</v>
      </c>
      <c r="S33" s="265" t="s">
        <v>48</v>
      </c>
      <c r="T33" s="28">
        <v>50</v>
      </c>
      <c r="U33" s="265" t="s">
        <v>48</v>
      </c>
      <c r="V33" s="548">
        <v>50</v>
      </c>
      <c r="W33" s="105" t="s">
        <v>66</v>
      </c>
      <c r="X33" s="73"/>
      <c r="Y33" s="267" t="s">
        <v>32</v>
      </c>
      <c r="Z33" s="28" t="s">
        <v>124</v>
      </c>
      <c r="AA33" s="262" t="s">
        <v>300</v>
      </c>
      <c r="AB33" s="548" t="s">
        <v>300</v>
      </c>
      <c r="AC33" s="554" t="s">
        <v>32</v>
      </c>
      <c r="AD33" s="28" t="s">
        <v>124</v>
      </c>
      <c r="AE33" s="262" t="s">
        <v>132</v>
      </c>
      <c r="AF33" s="500" t="s">
        <v>348</v>
      </c>
      <c r="AG33" s="28" t="s">
        <v>300</v>
      </c>
      <c r="AH33" s="597" t="s">
        <v>124</v>
      </c>
    </row>
    <row r="34" spans="1:34" x14ac:dyDescent="0.2">
      <c r="A34" s="101" t="s">
        <v>67</v>
      </c>
      <c r="B34" s="71"/>
      <c r="C34" s="33"/>
      <c r="D34" s="33"/>
      <c r="E34" s="33"/>
      <c r="F34" s="236"/>
      <c r="G34" s="573"/>
      <c r="H34" s="33"/>
      <c r="I34" s="33"/>
      <c r="J34" s="568"/>
      <c r="K34" s="101" t="s">
        <v>67</v>
      </c>
      <c r="L34" s="71"/>
      <c r="M34" s="33"/>
      <c r="N34" s="33"/>
      <c r="O34" s="33"/>
      <c r="P34" s="33"/>
      <c r="Q34" s="277"/>
      <c r="R34" s="32"/>
      <c r="S34" s="236"/>
      <c r="T34" s="33"/>
      <c r="U34" s="236"/>
      <c r="V34" s="568"/>
      <c r="W34" s="625" t="s">
        <v>67</v>
      </c>
      <c r="X34" s="71"/>
      <c r="Y34" s="277"/>
      <c r="Z34" s="33"/>
      <c r="AA34" s="33"/>
      <c r="AB34" s="568"/>
      <c r="AC34" s="573"/>
      <c r="AD34" s="33"/>
      <c r="AE34" s="33"/>
      <c r="AF34" s="33"/>
      <c r="AG34" s="33"/>
      <c r="AH34" s="568"/>
    </row>
    <row r="35" spans="1:34" x14ac:dyDescent="0.2">
      <c r="A35" s="102" t="s">
        <v>68</v>
      </c>
      <c r="B35" s="73"/>
      <c r="C35" s="28" t="s">
        <v>32</v>
      </c>
      <c r="D35" s="28" t="s">
        <v>124</v>
      </c>
      <c r="E35" s="261">
        <v>0.9</v>
      </c>
      <c r="F35" s="544" t="s">
        <v>301</v>
      </c>
      <c r="G35" s="554" t="s">
        <v>32</v>
      </c>
      <c r="H35" s="28" t="s">
        <v>124</v>
      </c>
      <c r="I35" s="261">
        <v>0.9</v>
      </c>
      <c r="J35" s="574" t="s">
        <v>301</v>
      </c>
      <c r="K35" s="102" t="s">
        <v>68</v>
      </c>
      <c r="L35" s="73"/>
      <c r="M35" s="28" t="s">
        <v>32</v>
      </c>
      <c r="N35" s="28" t="s">
        <v>124</v>
      </c>
      <c r="O35" s="261">
        <v>0.9</v>
      </c>
      <c r="P35" s="493" t="s">
        <v>301</v>
      </c>
      <c r="Q35" s="267" t="s">
        <v>32</v>
      </c>
      <c r="R35" s="34" t="s">
        <v>124</v>
      </c>
      <c r="S35" s="242">
        <v>0.9</v>
      </c>
      <c r="T35" s="493" t="s">
        <v>301</v>
      </c>
      <c r="U35" s="242">
        <v>0.9</v>
      </c>
      <c r="V35" s="574" t="s">
        <v>301</v>
      </c>
      <c r="W35" s="105" t="s">
        <v>68</v>
      </c>
      <c r="X35" s="73"/>
      <c r="Y35" s="267" t="s">
        <v>32</v>
      </c>
      <c r="Z35" s="28" t="s">
        <v>124</v>
      </c>
      <c r="AA35" s="261">
        <v>0.9</v>
      </c>
      <c r="AB35" s="574" t="s">
        <v>301</v>
      </c>
      <c r="AC35" s="554" t="s">
        <v>32</v>
      </c>
      <c r="AD35" s="28" t="s">
        <v>124</v>
      </c>
      <c r="AE35" s="261">
        <v>0.9</v>
      </c>
      <c r="AF35" s="261" t="s">
        <v>348</v>
      </c>
      <c r="AG35" s="493" t="s">
        <v>301</v>
      </c>
      <c r="AH35" s="596" t="s">
        <v>124</v>
      </c>
    </row>
    <row r="36" spans="1:34" x14ac:dyDescent="0.2">
      <c r="A36" s="102" t="s">
        <v>69</v>
      </c>
      <c r="B36" s="73"/>
      <c r="C36" s="28" t="s">
        <v>32</v>
      </c>
      <c r="D36" s="28" t="s">
        <v>124</v>
      </c>
      <c r="E36" s="262" t="s">
        <v>300</v>
      </c>
      <c r="F36" s="76" t="s">
        <v>300</v>
      </c>
      <c r="G36" s="554" t="s">
        <v>32</v>
      </c>
      <c r="H36" s="28" t="s">
        <v>124</v>
      </c>
      <c r="I36" s="262" t="s">
        <v>300</v>
      </c>
      <c r="J36" s="548" t="s">
        <v>300</v>
      </c>
      <c r="K36" s="102" t="s">
        <v>69</v>
      </c>
      <c r="L36" s="73"/>
      <c r="M36" s="28" t="s">
        <v>32</v>
      </c>
      <c r="N36" s="28" t="s">
        <v>124</v>
      </c>
      <c r="O36" s="262" t="s">
        <v>300</v>
      </c>
      <c r="P36" s="28" t="s">
        <v>300</v>
      </c>
      <c r="Q36" s="267" t="s">
        <v>32</v>
      </c>
      <c r="R36" s="34" t="s">
        <v>124</v>
      </c>
      <c r="S36" s="265" t="s">
        <v>48</v>
      </c>
      <c r="T36" s="28">
        <v>50</v>
      </c>
      <c r="U36" s="265" t="s">
        <v>48</v>
      </c>
      <c r="V36" s="548">
        <v>50</v>
      </c>
      <c r="W36" s="105" t="s">
        <v>69</v>
      </c>
      <c r="X36" s="73"/>
      <c r="Y36" s="267" t="s">
        <v>32</v>
      </c>
      <c r="Z36" s="28" t="s">
        <v>124</v>
      </c>
      <c r="AA36" s="262" t="s">
        <v>300</v>
      </c>
      <c r="AB36" s="548" t="s">
        <v>300</v>
      </c>
      <c r="AC36" s="554" t="s">
        <v>32</v>
      </c>
      <c r="AD36" s="28" t="s">
        <v>124</v>
      </c>
      <c r="AE36" s="262" t="s">
        <v>132</v>
      </c>
      <c r="AF36" s="500" t="s">
        <v>348</v>
      </c>
      <c r="AG36" s="28" t="s">
        <v>300</v>
      </c>
      <c r="AH36" s="597" t="s">
        <v>124</v>
      </c>
    </row>
    <row r="37" spans="1:34" x14ac:dyDescent="0.2">
      <c r="A37" s="103" t="s">
        <v>70</v>
      </c>
      <c r="B37" s="74"/>
      <c r="C37" s="49"/>
      <c r="D37" s="50"/>
      <c r="E37" s="263"/>
      <c r="F37" s="545"/>
      <c r="G37" s="575"/>
      <c r="H37" s="50"/>
      <c r="I37" s="263"/>
      <c r="J37" s="576"/>
      <c r="K37" s="103" t="s">
        <v>70</v>
      </c>
      <c r="L37" s="74"/>
      <c r="M37" s="49"/>
      <c r="N37" s="50"/>
      <c r="O37" s="263"/>
      <c r="P37" s="49"/>
      <c r="Q37" s="278"/>
      <c r="R37" s="50"/>
      <c r="S37" s="243"/>
      <c r="T37" s="49"/>
      <c r="U37" s="243"/>
      <c r="V37" s="576"/>
      <c r="W37" s="103" t="s">
        <v>70</v>
      </c>
      <c r="X37" s="255"/>
      <c r="Y37" s="278"/>
      <c r="Z37" s="50"/>
      <c r="AA37" s="263"/>
      <c r="AB37" s="576"/>
      <c r="AC37" s="575"/>
      <c r="AD37" s="50"/>
      <c r="AE37" s="263"/>
      <c r="AF37" s="263"/>
      <c r="AG37" s="49"/>
      <c r="AH37" s="598"/>
    </row>
    <row r="38" spans="1:34" x14ac:dyDescent="0.2">
      <c r="A38" s="98" t="s">
        <v>57</v>
      </c>
      <c r="B38" s="67"/>
      <c r="C38" s="41" t="s">
        <v>32</v>
      </c>
      <c r="D38" s="30" t="s">
        <v>124</v>
      </c>
      <c r="E38" s="41" t="s">
        <v>112</v>
      </c>
      <c r="F38" s="244" t="s">
        <v>301</v>
      </c>
      <c r="G38" s="577" t="s">
        <v>32</v>
      </c>
      <c r="H38" s="30" t="s">
        <v>124</v>
      </c>
      <c r="I38" s="41" t="s">
        <v>112</v>
      </c>
      <c r="J38" s="578" t="s">
        <v>301</v>
      </c>
      <c r="K38" s="98" t="s">
        <v>57</v>
      </c>
      <c r="L38" s="67"/>
      <c r="M38" s="41" t="s">
        <v>32</v>
      </c>
      <c r="N38" s="30" t="s">
        <v>124</v>
      </c>
      <c r="O38" s="41" t="s">
        <v>112</v>
      </c>
      <c r="P38" s="41" t="s">
        <v>301</v>
      </c>
      <c r="Q38" s="279" t="s">
        <v>32</v>
      </c>
      <c r="R38" s="30" t="s">
        <v>124</v>
      </c>
      <c r="S38" s="244" t="s">
        <v>134</v>
      </c>
      <c r="T38" s="41" t="s">
        <v>134</v>
      </c>
      <c r="U38" s="244" t="s">
        <v>134</v>
      </c>
      <c r="V38" s="578" t="s">
        <v>134</v>
      </c>
      <c r="W38" s="98" t="s">
        <v>57</v>
      </c>
      <c r="X38" s="256"/>
      <c r="Y38" s="279" t="s">
        <v>32</v>
      </c>
      <c r="Z38" s="30" t="s">
        <v>124</v>
      </c>
      <c r="AA38" s="41" t="s">
        <v>112</v>
      </c>
      <c r="AB38" s="578" t="s">
        <v>301</v>
      </c>
      <c r="AC38" s="577" t="s">
        <v>32</v>
      </c>
      <c r="AD38" s="30" t="s">
        <v>124</v>
      </c>
      <c r="AE38" s="29">
        <v>0.9</v>
      </c>
      <c r="AF38" s="41" t="s">
        <v>348</v>
      </c>
      <c r="AG38" s="29">
        <v>0.8</v>
      </c>
      <c r="AH38" s="578" t="s">
        <v>124</v>
      </c>
    </row>
    <row r="39" spans="1:34" x14ac:dyDescent="0.2">
      <c r="A39" s="97" t="s">
        <v>58</v>
      </c>
      <c r="B39" s="66"/>
      <c r="C39" s="41" t="s">
        <v>32</v>
      </c>
      <c r="D39" s="30" t="s">
        <v>124</v>
      </c>
      <c r="E39" s="41" t="s">
        <v>112</v>
      </c>
      <c r="F39" s="244" t="s">
        <v>301</v>
      </c>
      <c r="G39" s="577" t="s">
        <v>32</v>
      </c>
      <c r="H39" s="30" t="s">
        <v>124</v>
      </c>
      <c r="I39" s="41" t="s">
        <v>112</v>
      </c>
      <c r="J39" s="578" t="s">
        <v>301</v>
      </c>
      <c r="K39" s="97" t="s">
        <v>58</v>
      </c>
      <c r="L39" s="66"/>
      <c r="M39" s="41" t="s">
        <v>32</v>
      </c>
      <c r="N39" s="30" t="s">
        <v>124</v>
      </c>
      <c r="O39" s="41" t="s">
        <v>112</v>
      </c>
      <c r="P39" s="41" t="s">
        <v>301</v>
      </c>
      <c r="Q39" s="279" t="s">
        <v>32</v>
      </c>
      <c r="R39" s="30" t="s">
        <v>124</v>
      </c>
      <c r="S39" s="244" t="s">
        <v>112</v>
      </c>
      <c r="T39" s="41" t="s">
        <v>301</v>
      </c>
      <c r="U39" s="244" t="s">
        <v>112</v>
      </c>
      <c r="V39" s="578" t="s">
        <v>301</v>
      </c>
      <c r="W39" s="97" t="s">
        <v>58</v>
      </c>
      <c r="X39" s="252"/>
      <c r="Y39" s="279" t="s">
        <v>32</v>
      </c>
      <c r="Z39" s="30" t="s">
        <v>124</v>
      </c>
      <c r="AA39" s="41" t="s">
        <v>112</v>
      </c>
      <c r="AB39" s="578" t="s">
        <v>301</v>
      </c>
      <c r="AC39" s="600" t="s">
        <v>32</v>
      </c>
      <c r="AD39" s="601" t="s">
        <v>124</v>
      </c>
      <c r="AE39" s="261">
        <v>0.9</v>
      </c>
      <c r="AF39" s="602" t="s">
        <v>348</v>
      </c>
      <c r="AG39" s="261">
        <v>0.8</v>
      </c>
      <c r="AH39" s="578" t="s">
        <v>124</v>
      </c>
    </row>
    <row r="40" spans="1:34" ht="15.75" customHeight="1" x14ac:dyDescent="0.2">
      <c r="A40" s="104" t="s">
        <v>19</v>
      </c>
      <c r="B40" s="75"/>
      <c r="C40" s="1518" t="str">
        <f>C1</f>
        <v>CIGNA</v>
      </c>
      <c r="D40" s="1518"/>
      <c r="E40" s="1518"/>
      <c r="F40" s="1519"/>
      <c r="G40" s="1522" t="str">
        <f>G1</f>
        <v>United Healthcare</v>
      </c>
      <c r="H40" s="1523"/>
      <c r="I40" s="1523"/>
      <c r="J40" s="1524"/>
      <c r="K40" s="104" t="s">
        <v>19</v>
      </c>
      <c r="L40" s="75"/>
      <c r="M40" s="1518" t="str">
        <f>M1</f>
        <v>CIGNA</v>
      </c>
      <c r="N40" s="1518"/>
      <c r="O40" s="1518"/>
      <c r="P40" s="1518"/>
      <c r="Q40" s="1522" t="str">
        <f>Q1</f>
        <v>AETNA</v>
      </c>
      <c r="R40" s="1523"/>
      <c r="S40" s="1523"/>
      <c r="T40" s="1523"/>
      <c r="U40" s="1525"/>
      <c r="V40" s="1526"/>
      <c r="W40" s="104" t="s">
        <v>19</v>
      </c>
      <c r="X40" s="75"/>
      <c r="Y40" s="1527" t="str">
        <f>Y1</f>
        <v>CIGNA</v>
      </c>
      <c r="Z40" s="1518"/>
      <c r="AA40" s="1518"/>
      <c r="AB40" s="1528"/>
      <c r="AC40" s="1522" t="str">
        <f>AC1</f>
        <v>Blue Cross Blue Shield of Texas</v>
      </c>
      <c r="AD40" s="1523"/>
      <c r="AE40" s="1523"/>
      <c r="AF40" s="1523"/>
      <c r="AG40" s="1523"/>
      <c r="AH40" s="1524"/>
    </row>
    <row r="41" spans="1:34" x14ac:dyDescent="0.2">
      <c r="A41" s="103" t="s">
        <v>26</v>
      </c>
      <c r="B41" s="74"/>
      <c r="C41" s="46"/>
      <c r="D41" s="46"/>
      <c r="E41" s="46"/>
      <c r="F41" s="117"/>
      <c r="G41" s="280"/>
      <c r="H41" s="46"/>
      <c r="I41" s="117"/>
      <c r="J41" s="579"/>
      <c r="K41" s="103" t="s">
        <v>26</v>
      </c>
      <c r="L41" s="74"/>
      <c r="M41" s="46"/>
      <c r="N41" s="46"/>
      <c r="O41" s="46"/>
      <c r="P41" s="46"/>
      <c r="Q41" s="280"/>
      <c r="R41" s="46"/>
      <c r="S41" s="117"/>
      <c r="T41" s="46"/>
      <c r="U41" s="117"/>
      <c r="V41" s="579"/>
      <c r="W41" s="103" t="s">
        <v>26</v>
      </c>
      <c r="X41" s="255"/>
      <c r="Y41" s="280"/>
      <c r="Z41" s="46"/>
      <c r="AA41" s="46"/>
      <c r="AB41" s="579"/>
      <c r="AC41" s="280"/>
      <c r="AD41" s="46"/>
      <c r="AE41" s="117"/>
      <c r="AF41" s="117"/>
      <c r="AG41" s="46"/>
      <c r="AH41" s="579"/>
    </row>
    <row r="42" spans="1:34" x14ac:dyDescent="0.2">
      <c r="A42" s="105" t="s">
        <v>35</v>
      </c>
      <c r="B42" s="56"/>
      <c r="C42" s="77" t="s">
        <v>125</v>
      </c>
      <c r="D42" s="77" t="s">
        <v>40</v>
      </c>
      <c r="E42" s="28">
        <v>10</v>
      </c>
      <c r="F42" s="76">
        <v>10</v>
      </c>
      <c r="G42" s="281" t="s">
        <v>318</v>
      </c>
      <c r="H42" s="77" t="s">
        <v>40</v>
      </c>
      <c r="I42" s="76">
        <v>10</v>
      </c>
      <c r="J42" s="548">
        <v>10</v>
      </c>
      <c r="K42" s="105" t="s">
        <v>35</v>
      </c>
      <c r="L42" s="56"/>
      <c r="M42" s="77" t="s">
        <v>125</v>
      </c>
      <c r="N42" s="77" t="s">
        <v>40</v>
      </c>
      <c r="O42" s="28">
        <v>10</v>
      </c>
      <c r="P42" s="28">
        <v>10</v>
      </c>
      <c r="Q42" s="281">
        <v>10</v>
      </c>
      <c r="R42" s="77" t="s">
        <v>124</v>
      </c>
      <c r="S42" s="76">
        <v>10</v>
      </c>
      <c r="T42" s="76">
        <v>10</v>
      </c>
      <c r="U42" s="76">
        <v>10</v>
      </c>
      <c r="V42" s="548">
        <v>10</v>
      </c>
      <c r="W42" s="105" t="s">
        <v>35</v>
      </c>
      <c r="X42" s="73"/>
      <c r="Y42" s="281" t="s">
        <v>125</v>
      </c>
      <c r="Z42" s="77" t="s">
        <v>40</v>
      </c>
      <c r="AA42" s="28">
        <v>10</v>
      </c>
      <c r="AB42" s="548">
        <v>10</v>
      </c>
      <c r="AC42" s="1536" t="s">
        <v>343</v>
      </c>
      <c r="AD42" s="1537"/>
      <c r="AE42" s="76">
        <v>10</v>
      </c>
      <c r="AF42" s="76" t="s">
        <v>350</v>
      </c>
      <c r="AG42" s="76">
        <v>10</v>
      </c>
      <c r="AH42" s="548" t="s">
        <v>354</v>
      </c>
    </row>
    <row r="43" spans="1:34" x14ac:dyDescent="0.2">
      <c r="A43" s="105" t="s">
        <v>36</v>
      </c>
      <c r="B43" s="56"/>
      <c r="C43" s="77" t="s">
        <v>126</v>
      </c>
      <c r="D43" s="77" t="s">
        <v>40</v>
      </c>
      <c r="E43" s="28">
        <v>40</v>
      </c>
      <c r="F43" s="76">
        <v>40</v>
      </c>
      <c r="G43" s="580" t="s">
        <v>318</v>
      </c>
      <c r="H43" s="77" t="s">
        <v>40</v>
      </c>
      <c r="I43" s="356">
        <v>40</v>
      </c>
      <c r="J43" s="581">
        <v>40</v>
      </c>
      <c r="K43" s="105" t="s">
        <v>36</v>
      </c>
      <c r="L43" s="56"/>
      <c r="M43" s="77" t="s">
        <v>126</v>
      </c>
      <c r="N43" s="77" t="s">
        <v>40</v>
      </c>
      <c r="O43" s="28">
        <v>40</v>
      </c>
      <c r="P43" s="28">
        <v>40</v>
      </c>
      <c r="Q43" s="281">
        <v>40</v>
      </c>
      <c r="R43" s="77" t="s">
        <v>124</v>
      </c>
      <c r="S43" s="76">
        <v>40</v>
      </c>
      <c r="T43" s="28">
        <v>40</v>
      </c>
      <c r="U43" s="76">
        <v>40</v>
      </c>
      <c r="V43" s="548">
        <v>40</v>
      </c>
      <c r="W43" s="105" t="s">
        <v>36</v>
      </c>
      <c r="X43" s="73"/>
      <c r="Y43" s="281" t="s">
        <v>126</v>
      </c>
      <c r="Z43" s="77" t="s">
        <v>40</v>
      </c>
      <c r="AA43" s="28">
        <v>40</v>
      </c>
      <c r="AB43" s="548">
        <v>40</v>
      </c>
      <c r="AC43" s="1538" t="s">
        <v>344</v>
      </c>
      <c r="AD43" s="1539"/>
      <c r="AE43" s="356">
        <v>40</v>
      </c>
      <c r="AF43" s="356" t="s">
        <v>350</v>
      </c>
      <c r="AG43" s="355">
        <v>40</v>
      </c>
      <c r="AH43" s="581" t="s">
        <v>354</v>
      </c>
    </row>
    <row r="44" spans="1:34" x14ac:dyDescent="0.2">
      <c r="A44" s="105" t="s">
        <v>37</v>
      </c>
      <c r="B44" s="56"/>
      <c r="C44" s="77" t="s">
        <v>127</v>
      </c>
      <c r="D44" s="77" t="s">
        <v>40</v>
      </c>
      <c r="E44" s="28">
        <v>80</v>
      </c>
      <c r="F44" s="76">
        <v>80</v>
      </c>
      <c r="G44" s="580" t="s">
        <v>318</v>
      </c>
      <c r="H44" s="77" t="s">
        <v>40</v>
      </c>
      <c r="I44" s="356">
        <v>80</v>
      </c>
      <c r="J44" s="581">
        <v>80</v>
      </c>
      <c r="K44" s="105" t="s">
        <v>37</v>
      </c>
      <c r="L44" s="56"/>
      <c r="M44" s="77" t="s">
        <v>127</v>
      </c>
      <c r="N44" s="77" t="s">
        <v>40</v>
      </c>
      <c r="O44" s="28">
        <v>80</v>
      </c>
      <c r="P44" s="28">
        <v>80</v>
      </c>
      <c r="Q44" s="281">
        <v>80</v>
      </c>
      <c r="R44" s="77" t="s">
        <v>124</v>
      </c>
      <c r="S44" s="76">
        <v>80</v>
      </c>
      <c r="T44" s="28">
        <v>80</v>
      </c>
      <c r="U44" s="76">
        <v>80</v>
      </c>
      <c r="V44" s="548">
        <v>80</v>
      </c>
      <c r="W44" s="105" t="s">
        <v>37</v>
      </c>
      <c r="X44" s="73"/>
      <c r="Y44" s="281" t="s">
        <v>127</v>
      </c>
      <c r="Z44" s="77" t="s">
        <v>40</v>
      </c>
      <c r="AA44" s="28">
        <v>80</v>
      </c>
      <c r="AB44" s="548">
        <v>80</v>
      </c>
      <c r="AC44" s="1538" t="s">
        <v>345</v>
      </c>
      <c r="AD44" s="1539"/>
      <c r="AE44" s="356">
        <v>80</v>
      </c>
      <c r="AF44" s="356" t="s">
        <v>350</v>
      </c>
      <c r="AG44" s="355">
        <v>80</v>
      </c>
      <c r="AH44" s="581" t="s">
        <v>354</v>
      </c>
    </row>
    <row r="45" spans="1:34" ht="13.5" thickBot="1" x14ac:dyDescent="0.25">
      <c r="A45" s="106" t="s">
        <v>27</v>
      </c>
      <c r="B45" s="107"/>
      <c r="C45" s="108" t="s">
        <v>33</v>
      </c>
      <c r="D45" s="108" t="s">
        <v>40</v>
      </c>
      <c r="E45" s="108" t="s">
        <v>33</v>
      </c>
      <c r="F45" s="118" t="s">
        <v>33</v>
      </c>
      <c r="G45" s="582" t="s">
        <v>33</v>
      </c>
      <c r="H45" s="108" t="s">
        <v>40</v>
      </c>
      <c r="I45" s="504" t="s">
        <v>33</v>
      </c>
      <c r="J45" s="583" t="s">
        <v>33</v>
      </c>
      <c r="K45" s="106" t="s">
        <v>27</v>
      </c>
      <c r="L45" s="107"/>
      <c r="M45" s="108" t="s">
        <v>33</v>
      </c>
      <c r="N45" s="108" t="s">
        <v>40</v>
      </c>
      <c r="O45" s="108" t="s">
        <v>33</v>
      </c>
      <c r="P45" s="108" t="s">
        <v>33</v>
      </c>
      <c r="Q45" s="621" t="s">
        <v>33</v>
      </c>
      <c r="R45" s="622" t="s">
        <v>34</v>
      </c>
      <c r="S45" s="623" t="s">
        <v>137</v>
      </c>
      <c r="T45" s="622" t="s">
        <v>137</v>
      </c>
      <c r="U45" s="623" t="s">
        <v>137</v>
      </c>
      <c r="V45" s="624" t="s">
        <v>137</v>
      </c>
      <c r="W45" s="106" t="s">
        <v>27</v>
      </c>
      <c r="X45" s="257"/>
      <c r="Y45" s="282" t="s">
        <v>346</v>
      </c>
      <c r="Z45" s="108" t="s">
        <v>40</v>
      </c>
      <c r="AA45" s="108" t="s">
        <v>33</v>
      </c>
      <c r="AB45" s="599" t="s">
        <v>33</v>
      </c>
      <c r="AC45" s="1540" t="s">
        <v>346</v>
      </c>
      <c r="AD45" s="1541"/>
      <c r="AE45" s="504" t="s">
        <v>33</v>
      </c>
      <c r="AF45" s="504" t="s">
        <v>351</v>
      </c>
      <c r="AG45" s="359" t="s">
        <v>33</v>
      </c>
      <c r="AH45" s="583" t="s">
        <v>355</v>
      </c>
    </row>
    <row r="46" spans="1:34" x14ac:dyDescent="0.2">
      <c r="A46" s="78" t="s">
        <v>75</v>
      </c>
      <c r="K46" s="78" t="s">
        <v>75</v>
      </c>
      <c r="W46" s="78" t="s">
        <v>75</v>
      </c>
    </row>
  </sheetData>
  <mergeCells count="40">
    <mergeCell ref="AC42:AD42"/>
    <mergeCell ref="AC43:AD43"/>
    <mergeCell ref="AC44:AD44"/>
    <mergeCell ref="AC45:AD45"/>
    <mergeCell ref="AC1:AH1"/>
    <mergeCell ref="AG2:AH2"/>
    <mergeCell ref="AG26:AH26"/>
    <mergeCell ref="AC40:AH40"/>
    <mergeCell ref="AG5:AH5"/>
    <mergeCell ref="Y40:AB40"/>
    <mergeCell ref="AE2:AF2"/>
    <mergeCell ref="AE5:AF5"/>
    <mergeCell ref="AE26:AF26"/>
    <mergeCell ref="Y1:AB1"/>
    <mergeCell ref="AC2:AD2"/>
    <mergeCell ref="AC5:AD5"/>
    <mergeCell ref="AC26:AD26"/>
    <mergeCell ref="Y26:Z26"/>
    <mergeCell ref="Y2:Z2"/>
    <mergeCell ref="Y5:Z5"/>
    <mergeCell ref="C40:F40"/>
    <mergeCell ref="C2:D2"/>
    <mergeCell ref="C5:D5"/>
    <mergeCell ref="C26:D26"/>
    <mergeCell ref="Q26:R26"/>
    <mergeCell ref="G40:J40"/>
    <mergeCell ref="G5:H5"/>
    <mergeCell ref="M40:P40"/>
    <mergeCell ref="Q40:V40"/>
    <mergeCell ref="Q2:R2"/>
    <mergeCell ref="Q5:R5"/>
    <mergeCell ref="Q1:V1"/>
    <mergeCell ref="C1:F1"/>
    <mergeCell ref="G26:H26"/>
    <mergeCell ref="M2:N2"/>
    <mergeCell ref="M5:N5"/>
    <mergeCell ref="M26:N26"/>
    <mergeCell ref="G1:J1"/>
    <mergeCell ref="G2:H2"/>
    <mergeCell ref="M1:P1"/>
  </mergeCells>
  <phoneticPr fontId="1" type="noConversion"/>
  <printOptions horizontalCentered="1"/>
  <pageMargins left="0.4" right="0.22" top="1.33" bottom="0.09" header="0.81" footer="0.1"/>
  <pageSetup paperSize="5" scale="75" orientation="landscape" r:id="rId1"/>
  <headerFooter alignWithMargins="0">
    <oddHeader>&amp;C&amp;"Arial,Bold"&amp;14CITY OF CARROLLTON
BENEFIT PLAN COMPARISONS</oddHeader>
  </headerFooter>
  <colBreaks count="1" manualBreakCount="1">
    <brk id="10" max="45"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2018 Renewal - Fixed Fees</vt:lpstr>
      <vt:lpstr>2016 Renewal</vt:lpstr>
      <vt:lpstr>2014 Renewal - Option</vt:lpstr>
      <vt:lpstr>2014 - For Council</vt:lpstr>
      <vt:lpstr>Stop Loss Analysis</vt:lpstr>
      <vt:lpstr>Proposal Analysis</vt:lpstr>
      <vt:lpstr>Proposal Analysis - BAFO</vt:lpstr>
      <vt:lpstr>Pharmacy</vt:lpstr>
      <vt:lpstr>Benefits</vt:lpstr>
      <vt:lpstr>Network Disruption</vt:lpstr>
      <vt:lpstr>Perf Commitments &amp; Penalties</vt:lpstr>
      <vt:lpstr>Wellness</vt:lpstr>
      <vt:lpstr>FSA</vt:lpstr>
      <vt:lpstr>HSA</vt:lpstr>
      <vt:lpstr>Carrier Allowances</vt:lpstr>
      <vt:lpstr>Wellness!_Toc357069891</vt:lpstr>
      <vt:lpstr>'2014 - For Council'!Print_Area</vt:lpstr>
      <vt:lpstr>'2014 Renewal - Option'!Print_Area</vt:lpstr>
      <vt:lpstr>'2016 Renewal'!Print_Area</vt:lpstr>
      <vt:lpstr>'2018 Renewal - Fixed Fees'!Print_Area</vt:lpstr>
      <vt:lpstr>Benefits!Print_Area</vt:lpstr>
      <vt:lpstr>'Network Disruption'!Print_Area</vt:lpstr>
      <vt:lpstr>Pharmacy!Print_Area</vt:lpstr>
      <vt:lpstr>'Proposal Analysis'!Print_Area</vt:lpstr>
      <vt:lpstr>'Proposal Analysis - BAFO'!Print_Area</vt:lpstr>
      <vt:lpstr>'Stop Loss Analysis'!Print_Area</vt:lpstr>
    </vt:vector>
  </TitlesOfParts>
  <Company>IPS Advisors,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Weegar, Brent</dc:creator>
  <cp:lastModifiedBy>Melissa Bain</cp:lastModifiedBy>
  <cp:lastPrinted>2022-05-19T17:21:33Z</cp:lastPrinted>
  <dcterms:created xsi:type="dcterms:W3CDTF">2006-06-22T15:40:27Z</dcterms:created>
  <dcterms:modified xsi:type="dcterms:W3CDTF">2023-02-24T22:25:46Z</dcterms:modified>
</cp:coreProperties>
</file>